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\Downloads\"/>
    </mc:Choice>
  </mc:AlternateContent>
  <bookViews>
    <workbookView xWindow="0" yWindow="0" windowWidth="28800" windowHeight="11700"/>
  </bookViews>
  <sheets>
    <sheet name="Frais AUTO" sheetId="1" r:id="rId1"/>
    <sheet name="Frais MOTO" sheetId="2" r:id="rId2"/>
    <sheet name="SOCIETES" sheetId="5" r:id="rId3"/>
    <sheet name="Annexe BIC" sheetId="4" r:id="rId4"/>
    <sheet name="Calculs" sheetId="3" state="hidden" r:id="rId5"/>
    <sheet name="Calculs stes" sheetId="6" state="hidden" r:id="rId6"/>
  </sheets>
  <calcPr calcId="162913"/>
</workbook>
</file>

<file path=xl/calcChain.xml><?xml version="1.0" encoding="utf-8"?>
<calcChain xmlns="http://schemas.openxmlformats.org/spreadsheetml/2006/main">
  <c r="B7" i="4" l="1"/>
  <c r="A3" i="3"/>
  <c r="B14" i="3"/>
  <c r="A2" i="3"/>
  <c r="A21" i="3"/>
  <c r="D146" i="6"/>
  <c r="D145" i="6"/>
  <c r="D116" i="6"/>
  <c r="D115" i="6"/>
  <c r="D86" i="6"/>
  <c r="D85" i="6"/>
  <c r="D55" i="6"/>
  <c r="D56" i="6"/>
  <c r="D25" i="6"/>
  <c r="D26" i="6"/>
  <c r="C95" i="5"/>
  <c r="C93" i="5"/>
  <c r="C92" i="5"/>
  <c r="C76" i="5"/>
  <c r="C74" i="5"/>
  <c r="C73" i="5"/>
  <c r="C57" i="5"/>
  <c r="C55" i="5"/>
  <c r="C54" i="5"/>
  <c r="C38" i="5"/>
  <c r="C36" i="5"/>
  <c r="C35" i="5"/>
  <c r="A93" i="6"/>
  <c r="G73" i="5"/>
  <c r="A94" i="6"/>
  <c r="B113" i="6"/>
  <c r="B114" i="6"/>
  <c r="B115" i="6"/>
  <c r="B116" i="6"/>
  <c r="G92" i="5"/>
  <c r="A124" i="6"/>
  <c r="B137" i="6"/>
  <c r="A123" i="6"/>
  <c r="B143" i="6"/>
  <c r="B144" i="6"/>
  <c r="B145" i="6"/>
  <c r="B146" i="6"/>
  <c r="D143" i="6"/>
  <c r="D144" i="6"/>
  <c r="G54" i="5"/>
  <c r="A64" i="6"/>
  <c r="A63" i="6"/>
  <c r="B83" i="6"/>
  <c r="B84" i="6"/>
  <c r="B85" i="6"/>
  <c r="B86" i="6"/>
  <c r="D83" i="6"/>
  <c r="D84" i="6"/>
  <c r="G35" i="5"/>
  <c r="A34" i="6"/>
  <c r="D42" i="6"/>
  <c r="B53" i="6"/>
  <c r="B54" i="6"/>
  <c r="B55" i="6"/>
  <c r="B56" i="6"/>
  <c r="I143" i="6"/>
  <c r="L146" i="6"/>
  <c r="K146" i="6"/>
  <c r="J146" i="6"/>
  <c r="I146" i="6"/>
  <c r="L145" i="6"/>
  <c r="K145" i="6"/>
  <c r="J145" i="6"/>
  <c r="I145" i="6"/>
  <c r="L144" i="6"/>
  <c r="K144" i="6"/>
  <c r="J144" i="6"/>
  <c r="I144" i="6"/>
  <c r="L143" i="6"/>
  <c r="K143" i="6"/>
  <c r="J143" i="6"/>
  <c r="L133" i="6"/>
  <c r="K133" i="6"/>
  <c r="J133" i="6"/>
  <c r="I133" i="6"/>
  <c r="L132" i="6"/>
  <c r="K132" i="6"/>
  <c r="J132" i="6"/>
  <c r="I132" i="6"/>
  <c r="L131" i="6"/>
  <c r="K131" i="6"/>
  <c r="J131" i="6"/>
  <c r="I131" i="6"/>
  <c r="L130" i="6"/>
  <c r="K130" i="6"/>
  <c r="J130" i="6"/>
  <c r="I130" i="6"/>
  <c r="L129" i="6"/>
  <c r="K129" i="6"/>
  <c r="J129" i="6"/>
  <c r="I129" i="6"/>
  <c r="L128" i="6"/>
  <c r="K128" i="6"/>
  <c r="J128" i="6"/>
  <c r="I128" i="6"/>
  <c r="L127" i="6"/>
  <c r="K127" i="6"/>
  <c r="J127" i="6"/>
  <c r="I127" i="6"/>
  <c r="L126" i="6"/>
  <c r="K126" i="6"/>
  <c r="J126" i="6"/>
  <c r="I126" i="6"/>
  <c r="L125" i="6"/>
  <c r="K125" i="6"/>
  <c r="J125" i="6"/>
  <c r="I125" i="6"/>
  <c r="L124" i="6"/>
  <c r="K124" i="6"/>
  <c r="J124" i="6"/>
  <c r="I124" i="6"/>
  <c r="L123" i="6"/>
  <c r="K123" i="6"/>
  <c r="J123" i="6"/>
  <c r="I123" i="6"/>
  <c r="I113" i="6"/>
  <c r="D113" i="6"/>
  <c r="D114" i="6"/>
  <c r="L116" i="6"/>
  <c r="K116" i="6"/>
  <c r="J116" i="6"/>
  <c r="I116" i="6"/>
  <c r="L115" i="6"/>
  <c r="K115" i="6"/>
  <c r="J115" i="6"/>
  <c r="I115" i="6"/>
  <c r="L114" i="6"/>
  <c r="K114" i="6"/>
  <c r="J114" i="6"/>
  <c r="I114" i="6"/>
  <c r="L113" i="6"/>
  <c r="K113" i="6"/>
  <c r="J113" i="6"/>
  <c r="L103" i="6"/>
  <c r="K103" i="6"/>
  <c r="J103" i="6"/>
  <c r="I103" i="6"/>
  <c r="L102" i="6"/>
  <c r="K102" i="6"/>
  <c r="J102" i="6"/>
  <c r="I102" i="6"/>
  <c r="L101" i="6"/>
  <c r="K101" i="6"/>
  <c r="J101" i="6"/>
  <c r="I101" i="6"/>
  <c r="L100" i="6"/>
  <c r="K100" i="6"/>
  <c r="J100" i="6"/>
  <c r="I100" i="6"/>
  <c r="L99" i="6"/>
  <c r="K99" i="6"/>
  <c r="J99" i="6"/>
  <c r="I99" i="6"/>
  <c r="L98" i="6"/>
  <c r="K98" i="6"/>
  <c r="J98" i="6"/>
  <c r="I98" i="6"/>
  <c r="L97" i="6"/>
  <c r="K97" i="6"/>
  <c r="J97" i="6"/>
  <c r="I97" i="6"/>
  <c r="L96" i="6"/>
  <c r="K96" i="6"/>
  <c r="J96" i="6"/>
  <c r="I96" i="6"/>
  <c r="L95" i="6"/>
  <c r="K95" i="6"/>
  <c r="J95" i="6"/>
  <c r="I95" i="6"/>
  <c r="L94" i="6"/>
  <c r="K94" i="6"/>
  <c r="J94" i="6"/>
  <c r="I94" i="6"/>
  <c r="L93" i="6"/>
  <c r="K93" i="6"/>
  <c r="J93" i="6"/>
  <c r="I93" i="6"/>
  <c r="I83" i="6"/>
  <c r="L86" i="6"/>
  <c r="K86" i="6"/>
  <c r="J86" i="6"/>
  <c r="I86" i="6"/>
  <c r="L85" i="6"/>
  <c r="K85" i="6"/>
  <c r="J85" i="6"/>
  <c r="I85" i="6"/>
  <c r="L84" i="6"/>
  <c r="K84" i="6"/>
  <c r="J84" i="6"/>
  <c r="I84" i="6"/>
  <c r="L83" i="6"/>
  <c r="K83" i="6"/>
  <c r="J83" i="6"/>
  <c r="L73" i="6"/>
  <c r="K73" i="6"/>
  <c r="J73" i="6"/>
  <c r="I73" i="6"/>
  <c r="L72" i="6"/>
  <c r="K72" i="6"/>
  <c r="J72" i="6"/>
  <c r="I72" i="6"/>
  <c r="L71" i="6"/>
  <c r="K71" i="6"/>
  <c r="J71" i="6"/>
  <c r="I71" i="6"/>
  <c r="L70" i="6"/>
  <c r="K70" i="6"/>
  <c r="J70" i="6"/>
  <c r="I70" i="6"/>
  <c r="L69" i="6"/>
  <c r="K69" i="6"/>
  <c r="J69" i="6"/>
  <c r="I69" i="6"/>
  <c r="L68" i="6"/>
  <c r="K68" i="6"/>
  <c r="J68" i="6"/>
  <c r="I68" i="6"/>
  <c r="L67" i="6"/>
  <c r="K67" i="6"/>
  <c r="J67" i="6"/>
  <c r="I67" i="6"/>
  <c r="L66" i="6"/>
  <c r="K66" i="6"/>
  <c r="J66" i="6"/>
  <c r="I66" i="6"/>
  <c r="L65" i="6"/>
  <c r="K65" i="6"/>
  <c r="J65" i="6"/>
  <c r="I65" i="6"/>
  <c r="L64" i="6"/>
  <c r="K64" i="6"/>
  <c r="J64" i="6"/>
  <c r="I64" i="6"/>
  <c r="L63" i="6"/>
  <c r="K63" i="6"/>
  <c r="J63" i="6"/>
  <c r="I63" i="6"/>
  <c r="I53" i="6"/>
  <c r="D53" i="6"/>
  <c r="D54" i="6"/>
  <c r="L56" i="6"/>
  <c r="K56" i="6"/>
  <c r="J56" i="6"/>
  <c r="I56" i="6"/>
  <c r="L55" i="6"/>
  <c r="K55" i="6"/>
  <c r="J55" i="6"/>
  <c r="I55" i="6"/>
  <c r="L54" i="6"/>
  <c r="K54" i="6"/>
  <c r="J54" i="6"/>
  <c r="I54" i="6"/>
  <c r="L53" i="6"/>
  <c r="K53" i="6"/>
  <c r="J53" i="6"/>
  <c r="L43" i="6"/>
  <c r="K43" i="6"/>
  <c r="J43" i="6"/>
  <c r="I43" i="6"/>
  <c r="L42" i="6"/>
  <c r="K42" i="6"/>
  <c r="J42" i="6"/>
  <c r="I42" i="6"/>
  <c r="L41" i="6"/>
  <c r="K41" i="6"/>
  <c r="J41" i="6"/>
  <c r="I41" i="6"/>
  <c r="L40" i="6"/>
  <c r="K40" i="6"/>
  <c r="J40" i="6"/>
  <c r="I40" i="6"/>
  <c r="L39" i="6"/>
  <c r="K39" i="6"/>
  <c r="J39" i="6"/>
  <c r="I39" i="6"/>
  <c r="L38" i="6"/>
  <c r="K38" i="6"/>
  <c r="J38" i="6"/>
  <c r="I38" i="6"/>
  <c r="L37" i="6"/>
  <c r="K37" i="6"/>
  <c r="J37" i="6"/>
  <c r="I37" i="6"/>
  <c r="L36" i="6"/>
  <c r="K36" i="6"/>
  <c r="J36" i="6"/>
  <c r="I36" i="6"/>
  <c r="L35" i="6"/>
  <c r="K35" i="6"/>
  <c r="J35" i="6"/>
  <c r="I35" i="6"/>
  <c r="L34" i="6"/>
  <c r="K34" i="6"/>
  <c r="J34" i="6"/>
  <c r="I34" i="6"/>
  <c r="L33" i="6"/>
  <c r="K33" i="6"/>
  <c r="J33" i="6"/>
  <c r="I33" i="6"/>
  <c r="A33" i="6"/>
  <c r="L26" i="6"/>
  <c r="L25" i="6"/>
  <c r="L24" i="6"/>
  <c r="L23" i="6"/>
  <c r="L13" i="6"/>
  <c r="L12" i="6"/>
  <c r="L11" i="6"/>
  <c r="L10" i="6"/>
  <c r="L9" i="6"/>
  <c r="L8" i="6"/>
  <c r="L7" i="6"/>
  <c r="L6" i="6"/>
  <c r="L5" i="6"/>
  <c r="L4" i="6"/>
  <c r="L3" i="6"/>
  <c r="K26" i="6"/>
  <c r="K25" i="6"/>
  <c r="K24" i="6"/>
  <c r="K23" i="6"/>
  <c r="K13" i="6"/>
  <c r="K12" i="6"/>
  <c r="K11" i="6"/>
  <c r="K10" i="6"/>
  <c r="K9" i="6"/>
  <c r="K8" i="6"/>
  <c r="K7" i="6"/>
  <c r="K6" i="6"/>
  <c r="K5" i="6"/>
  <c r="K4" i="6"/>
  <c r="K3" i="6"/>
  <c r="J26" i="6"/>
  <c r="J25" i="6"/>
  <c r="J24" i="6"/>
  <c r="J23" i="6"/>
  <c r="J13" i="6"/>
  <c r="J12" i="6"/>
  <c r="J11" i="6"/>
  <c r="J10" i="6"/>
  <c r="J9" i="6"/>
  <c r="J8" i="6"/>
  <c r="J7" i="6"/>
  <c r="J6" i="6"/>
  <c r="J5" i="6"/>
  <c r="J4" i="6"/>
  <c r="J3" i="6"/>
  <c r="I26" i="6"/>
  <c r="I25" i="6"/>
  <c r="I24" i="6"/>
  <c r="I23" i="6"/>
  <c r="I13" i="6"/>
  <c r="I12" i="6"/>
  <c r="I11" i="6"/>
  <c r="I10" i="6"/>
  <c r="I9" i="6"/>
  <c r="I8" i="6"/>
  <c r="I7" i="6"/>
  <c r="I6" i="6"/>
  <c r="I5" i="6"/>
  <c r="I4" i="6"/>
  <c r="I3" i="6"/>
  <c r="G16" i="5"/>
  <c r="A21" i="6"/>
  <c r="B26" i="6"/>
  <c r="B25" i="6"/>
  <c r="D24" i="6"/>
  <c r="B24" i="6"/>
  <c r="D23" i="6"/>
  <c r="A3" i="6"/>
  <c r="B23" i="6"/>
  <c r="F92" i="5"/>
  <c r="F73" i="5"/>
  <c r="F54" i="5"/>
  <c r="F35" i="5"/>
  <c r="C19" i="5"/>
  <c r="F16" i="5"/>
  <c r="C17" i="5"/>
  <c r="C16" i="5"/>
  <c r="A31" i="3"/>
  <c r="D33" i="3"/>
  <c r="B33" i="3"/>
  <c r="B34" i="3"/>
  <c r="B35" i="3"/>
  <c r="B36" i="3"/>
  <c r="D36" i="3"/>
  <c r="D35" i="3"/>
  <c r="D34" i="3"/>
  <c r="B24" i="2"/>
  <c r="B29" i="1"/>
  <c r="A20" i="3"/>
  <c r="B24" i="3"/>
  <c r="D23" i="3"/>
  <c r="A41" i="3"/>
  <c r="B43" i="3"/>
  <c r="B42" i="3"/>
  <c r="B46" i="3" s="1"/>
  <c r="E23" i="2" s="1"/>
  <c r="B44" i="3"/>
  <c r="B45" i="3"/>
  <c r="D42" i="3"/>
  <c r="D43" i="3"/>
  <c r="D44" i="3"/>
  <c r="D45" i="3"/>
  <c r="C13" i="2"/>
  <c r="B25" i="2"/>
  <c r="B23" i="2"/>
  <c r="B20" i="2"/>
  <c r="B13" i="2"/>
  <c r="B9" i="2"/>
  <c r="B11" i="2"/>
  <c r="B28" i="1"/>
  <c r="B23" i="1"/>
  <c r="B15" i="1"/>
  <c r="B12" i="1"/>
  <c r="B30" i="1"/>
  <c r="B17" i="1"/>
  <c r="J11" i="2"/>
  <c r="C25" i="2"/>
  <c r="D27" i="3"/>
  <c r="B15" i="3"/>
  <c r="D102" i="6"/>
  <c r="D103" i="6"/>
  <c r="D104" i="6"/>
  <c r="B100" i="6"/>
  <c r="D97" i="6"/>
  <c r="D106" i="6"/>
  <c r="D100" i="6"/>
  <c r="B101" i="6"/>
  <c r="D105" i="6"/>
  <c r="B99" i="6"/>
  <c r="B106" i="6"/>
  <c r="D13" i="3"/>
  <c r="D26" i="3"/>
  <c r="B26" i="3"/>
  <c r="B132" i="6"/>
  <c r="D7" i="3"/>
  <c r="B25" i="3"/>
  <c r="B133" i="6"/>
  <c r="B128" i="6"/>
  <c r="B6" i="3"/>
  <c r="D14" i="3"/>
  <c r="B8" i="3"/>
  <c r="B134" i="6"/>
  <c r="B9" i="3"/>
  <c r="D10" i="3"/>
  <c r="B7" i="3"/>
  <c r="B130" i="6"/>
  <c r="B11" i="3"/>
  <c r="D11" i="3"/>
  <c r="D25" i="3"/>
  <c r="D9" i="3"/>
  <c r="D24" i="3"/>
  <c r="B13" i="3"/>
  <c r="D12" i="3"/>
  <c r="B68" i="6"/>
  <c r="D68" i="6"/>
  <c r="B73" i="6"/>
  <c r="D75" i="6"/>
  <c r="A4" i="6"/>
  <c r="B14" i="6"/>
  <c r="B9" i="6"/>
  <c r="D38" i="6"/>
  <c r="D45" i="6"/>
  <c r="D39" i="6"/>
  <c r="B43" i="6"/>
  <c r="B37" i="6"/>
  <c r="D40" i="6"/>
  <c r="D41" i="6"/>
  <c r="B45" i="6"/>
  <c r="D47" i="6"/>
  <c r="B38" i="6"/>
  <c r="D44" i="6"/>
  <c r="B41" i="6"/>
  <c r="D37" i="6"/>
  <c r="B44" i="6"/>
  <c r="B46" i="6"/>
  <c r="B42" i="6"/>
  <c r="D43" i="6"/>
  <c r="B16" i="6"/>
  <c r="D12" i="6"/>
  <c r="C30" i="1"/>
  <c r="C17" i="1"/>
  <c r="D17" i="6"/>
  <c r="B15" i="6"/>
  <c r="B13" i="6"/>
  <c r="D14" i="6"/>
  <c r="B8" i="6"/>
  <c r="D7" i="6"/>
  <c r="D8" i="6"/>
  <c r="B11" i="6"/>
  <c r="D15" i="6"/>
  <c r="B7" i="6"/>
  <c r="D13" i="6"/>
  <c r="B12" i="6"/>
  <c r="D9" i="6"/>
  <c r="D76" i="6"/>
  <c r="A81" i="6"/>
  <c r="B67" i="6"/>
  <c r="D72" i="6"/>
  <c r="D70" i="6"/>
  <c r="B72" i="6"/>
  <c r="B71" i="6"/>
  <c r="D137" i="6"/>
  <c r="B136" i="6"/>
  <c r="D129" i="6"/>
  <c r="B135" i="6"/>
  <c r="D135" i="6"/>
  <c r="D134" i="6"/>
  <c r="B127" i="6"/>
  <c r="D128" i="6"/>
  <c r="D130" i="6"/>
  <c r="A141" i="6"/>
  <c r="B131" i="6"/>
  <c r="B129" i="6"/>
  <c r="D127" i="6"/>
  <c r="D10" i="6"/>
  <c r="B17" i="6"/>
  <c r="D11" i="6"/>
  <c r="D16" i="6"/>
  <c r="B10" i="6"/>
  <c r="B77" i="6"/>
  <c r="B69" i="6"/>
  <c r="D74" i="6"/>
  <c r="D67" i="6"/>
  <c r="D133" i="6"/>
  <c r="D131" i="6"/>
  <c r="D136" i="6"/>
  <c r="D16" i="3"/>
  <c r="B10" i="3"/>
  <c r="B12" i="3"/>
  <c r="D15" i="3"/>
  <c r="D8" i="3"/>
  <c r="B16" i="3"/>
  <c r="D6" i="3"/>
  <c r="D71" i="6"/>
  <c r="B74" i="6"/>
  <c r="D69" i="6"/>
  <c r="D77" i="6"/>
  <c r="D73" i="6"/>
  <c r="B70" i="6"/>
  <c r="B76" i="6"/>
  <c r="B75" i="6"/>
  <c r="D132" i="6"/>
  <c r="D101" i="6"/>
  <c r="B103" i="6"/>
  <c r="B102" i="6"/>
  <c r="B104" i="6"/>
  <c r="B98" i="6"/>
  <c r="D98" i="6"/>
  <c r="B107" i="6"/>
  <c r="D99" i="6"/>
  <c r="A111" i="6"/>
  <c r="B105" i="6"/>
  <c r="D107" i="6"/>
  <c r="B97" i="6"/>
  <c r="B40" i="6"/>
  <c r="B39" i="6"/>
  <c r="B47" i="6"/>
  <c r="A51" i="6"/>
  <c r="D46" i="6"/>
  <c r="B23" i="3"/>
  <c r="B27" i="3"/>
  <c r="B57" i="6" l="1"/>
  <c r="B59" i="6" s="1"/>
  <c r="F38" i="5" s="1"/>
  <c r="G44" i="5" s="1"/>
  <c r="D87" i="6"/>
  <c r="D57" i="6"/>
  <c r="B27" i="6"/>
  <c r="D117" i="6"/>
  <c r="D37" i="3"/>
  <c r="D27" i="6"/>
  <c r="B87" i="6"/>
  <c r="D147" i="6"/>
  <c r="B147" i="6"/>
  <c r="B117" i="6"/>
  <c r="G119" i="6" s="1"/>
  <c r="F70" i="5" s="1"/>
  <c r="B37" i="3"/>
  <c r="E11" i="2" s="1"/>
  <c r="B17" i="3"/>
  <c r="E15" i="1" s="1"/>
  <c r="B108" i="6"/>
  <c r="B48" i="6"/>
  <c r="D48" i="6"/>
  <c r="D108" i="6"/>
  <c r="D119" i="6" s="1"/>
  <c r="D138" i="6"/>
  <c r="D18" i="6"/>
  <c r="D29" i="6" s="1"/>
  <c r="B18" i="6"/>
  <c r="B29" i="6" s="1"/>
  <c r="F19" i="5" s="1"/>
  <c r="F22" i="5" s="1"/>
  <c r="D17" i="3"/>
  <c r="B78" i="6"/>
  <c r="B138" i="6"/>
  <c r="D78" i="6"/>
  <c r="D89" i="6" s="1"/>
  <c r="D46" i="3"/>
  <c r="B28" i="3"/>
  <c r="E28" i="1" s="1"/>
  <c r="F30" i="4" s="1"/>
  <c r="D28" i="3"/>
  <c r="G59" i="6" l="1"/>
  <c r="F32" i="5" s="1"/>
  <c r="G89" i="6"/>
  <c r="F51" i="5" s="1"/>
  <c r="D59" i="6"/>
  <c r="G149" i="6"/>
  <c r="F89" i="5" s="1"/>
  <c r="D149" i="6"/>
  <c r="B119" i="6"/>
  <c r="F76" i="5" s="1"/>
  <c r="D77" i="5" s="1"/>
  <c r="B149" i="6"/>
  <c r="F95" i="5" s="1"/>
  <c r="D96" i="5" s="1"/>
  <c r="D20" i="5"/>
  <c r="G25" i="5"/>
  <c r="C26" i="5" s="1"/>
  <c r="G29" i="6"/>
  <c r="F13" i="5" s="1"/>
  <c r="C20" i="5"/>
  <c r="B89" i="6"/>
  <c r="F57" i="5" s="1"/>
  <c r="F60" i="5" s="1"/>
  <c r="C39" i="5"/>
  <c r="D39" i="5"/>
  <c r="F41" i="5"/>
  <c r="C23" i="5"/>
  <c r="C22" i="5"/>
  <c r="C45" i="5"/>
  <c r="C44" i="5"/>
  <c r="G82" i="5" l="1"/>
  <c r="C83" i="5" s="1"/>
  <c r="C77" i="5"/>
  <c r="F79" i="5"/>
  <c r="C25" i="5"/>
  <c r="F98" i="5"/>
  <c r="C99" i="5" s="1"/>
  <c r="G101" i="5"/>
  <c r="C102" i="5" s="1"/>
  <c r="C96" i="5"/>
  <c r="C58" i="5"/>
  <c r="G63" i="5"/>
  <c r="C63" i="5" s="1"/>
  <c r="D58" i="5"/>
  <c r="C41" i="5"/>
  <c r="C42" i="5"/>
  <c r="C98" i="5"/>
  <c r="C61" i="5"/>
  <c r="C60" i="5"/>
  <c r="C82" i="5" l="1"/>
  <c r="C80" i="5"/>
  <c r="C79" i="5"/>
  <c r="C101" i="5"/>
  <c r="C64" i="5"/>
</calcChain>
</file>

<file path=xl/sharedStrings.xml><?xml version="1.0" encoding="utf-8"?>
<sst xmlns="http://schemas.openxmlformats.org/spreadsheetml/2006/main" count="229" uniqueCount="88">
  <si>
    <t xml:space="preserve">Nom - Prénom :   </t>
  </si>
  <si>
    <t xml:space="preserve">Profession :   </t>
  </si>
  <si>
    <t xml:space="preserve">Dossier n° :   </t>
  </si>
  <si>
    <t>Non applicable aux véhicules utilitaires, véhicules de tourisme prêtés, location courte durée,…</t>
  </si>
  <si>
    <t>Non applicable aux salariés locataires, ni aux locations de véhicules utilitaires.</t>
  </si>
  <si>
    <t>Puissance du Véhicule (CV) :</t>
  </si>
  <si>
    <t>Applicable aux BNC locataires de leur véhicule de tourisme.</t>
  </si>
  <si>
    <t>Applicable aux BNC locataires de leur véhicule.</t>
  </si>
  <si>
    <t>IK GENERAL AUTO</t>
  </si>
  <si>
    <t>CV</t>
  </si>
  <si>
    <t>KM</t>
  </si>
  <si>
    <t>FORFAIT BIC AUTO</t>
  </si>
  <si>
    <t>5 à 7 CV</t>
  </si>
  <si>
    <t>8 et 9 CV</t>
  </si>
  <si>
    <t>10 et 11 CV</t>
  </si>
  <si>
    <t>12 CV et +</t>
  </si>
  <si>
    <t>IK GENERAL MOTO</t>
  </si>
  <si>
    <t>km</t>
  </si>
  <si>
    <t>- de 50 cm3</t>
  </si>
  <si>
    <t>de 50 à 125 cm3</t>
  </si>
  <si>
    <t>3, 4, 5 CV</t>
  </si>
  <si>
    <t>plus de 5 CV</t>
  </si>
  <si>
    <t>IK CARBURANT MOTO</t>
  </si>
  <si>
    <t xml:space="preserve">Exercice :   </t>
  </si>
  <si>
    <t>3 CV ou -</t>
  </si>
  <si>
    <t>4 CV</t>
  </si>
  <si>
    <t>5 CV</t>
  </si>
  <si>
    <t>6 CV</t>
  </si>
  <si>
    <t>7 CV</t>
  </si>
  <si>
    <t>5000 a 20000</t>
  </si>
  <si>
    <r>
      <t xml:space="preserve"> Energie :</t>
    </r>
    <r>
      <rPr>
        <b/>
        <sz val="10"/>
        <rFont val="Arial"/>
        <family val="2"/>
      </rPr>
      <t xml:space="preserve">  </t>
    </r>
  </si>
  <si>
    <t>BIC auto</t>
  </si>
  <si>
    <t>diesel</t>
  </si>
  <si>
    <t>ss plomb</t>
  </si>
  <si>
    <t>gpl</t>
  </si>
  <si>
    <t>Diesel</t>
  </si>
  <si>
    <t>Sans Plomb</t>
  </si>
  <si>
    <t>GPL</t>
  </si>
  <si>
    <r>
      <t xml:space="preserve">Puissance </t>
    </r>
    <r>
      <rPr>
        <b/>
        <sz val="10"/>
        <rFont val="Arial"/>
        <family val="2"/>
      </rPr>
      <t>:</t>
    </r>
  </si>
  <si>
    <r>
      <t>- de 50 cm</t>
    </r>
    <r>
      <rPr>
        <vertAlign val="superscript"/>
        <sz val="10"/>
        <rFont val="Arial"/>
        <family val="2"/>
      </rPr>
      <t>3</t>
    </r>
  </si>
  <si>
    <r>
      <t>de 50 à 125 cm</t>
    </r>
    <r>
      <rPr>
        <vertAlign val="superscript"/>
        <sz val="10"/>
        <rFont val="Arial"/>
        <family val="2"/>
      </rPr>
      <t>3</t>
    </r>
  </si>
  <si>
    <t xml:space="preserve">       FORFAITS MOTO</t>
  </si>
  <si>
    <t>3 à 4 CV</t>
  </si>
  <si>
    <t>OPTION</t>
  </si>
  <si>
    <r>
      <t>P</t>
    </r>
    <r>
      <rPr>
        <sz val="12"/>
        <rFont val="Arial"/>
        <family val="2"/>
      </rPr>
      <t xml:space="preserve"> Entreprise bailleresse :</t>
    </r>
  </si>
  <si>
    <r>
      <t>C</t>
    </r>
    <r>
      <rPr>
        <sz val="12"/>
        <rFont val="Arial"/>
        <family val="2"/>
      </rPr>
      <t xml:space="preserve"> Dénomination :</t>
    </r>
  </si>
  <si>
    <r>
      <t>C</t>
    </r>
    <r>
      <rPr>
        <sz val="12"/>
        <rFont val="Arial"/>
        <family val="2"/>
      </rPr>
      <t xml:space="preserve"> Adresse :</t>
    </r>
  </si>
  <si>
    <r>
      <t>P</t>
    </r>
    <r>
      <rPr>
        <sz val="12"/>
        <rFont val="Arial"/>
        <family val="2"/>
      </rPr>
      <t xml:space="preserve"> Date du contrat :</t>
    </r>
  </si>
  <si>
    <r>
      <t>C</t>
    </r>
    <r>
      <rPr>
        <sz val="12"/>
        <rFont val="Arial"/>
        <family val="2"/>
      </rPr>
      <t xml:space="preserve"> Type :</t>
    </r>
  </si>
  <si>
    <r>
      <t>C</t>
    </r>
    <r>
      <rPr>
        <sz val="12"/>
        <rFont val="Arial"/>
        <family val="2"/>
      </rPr>
      <t xml:space="preserve"> Immatriculation :</t>
    </r>
  </si>
  <si>
    <r>
      <t> </t>
    </r>
    <r>
      <rPr>
        <b/>
        <sz val="12"/>
        <rFont val="Arial"/>
        <family val="2"/>
      </rPr>
      <t xml:space="preserve"> Type et Immatriculation du véhicule concerné :</t>
    </r>
  </si>
  <si>
    <r>
      <t> </t>
    </r>
    <r>
      <rPr>
        <b/>
        <sz val="12"/>
        <rFont val="Arial"/>
        <family val="2"/>
      </rPr>
      <t xml:space="preserve"> Nombre total de kilomètres parcourus :</t>
    </r>
  </si>
  <si>
    <r>
      <t>P</t>
    </r>
    <r>
      <rPr>
        <sz val="12"/>
        <rFont val="Arial"/>
        <family val="2"/>
      </rPr>
      <t xml:space="preserve"> Nombre de kilomètres parcourus</t>
    </r>
  </si>
  <si>
    <t xml:space="preserve">    à titre professionnel :</t>
  </si>
  <si>
    <r>
      <t> </t>
    </r>
    <r>
      <rPr>
        <b/>
        <sz val="12"/>
        <rFont val="Arial"/>
        <family val="2"/>
      </rPr>
      <t xml:space="preserve"> Montant forfaitaire des frais de carburant :</t>
    </r>
  </si>
  <si>
    <t>Fait à</t>
  </si>
  <si>
    <t>Le</t>
  </si>
  <si>
    <t>Signature :</t>
  </si>
  <si>
    <r>
      <t> </t>
    </r>
    <r>
      <rPr>
        <b/>
        <sz val="12"/>
        <rFont val="Arial"/>
        <family val="2"/>
      </rPr>
      <t xml:space="preserve"> C</t>
    </r>
    <r>
      <rPr>
        <b/>
        <sz val="12"/>
        <rFont val="Arial"/>
        <family val="2"/>
      </rPr>
      <t>ontrat de crédit-bail ou de location</t>
    </r>
  </si>
  <si>
    <t>1 ou 2 CV</t>
  </si>
  <si>
    <t>M.</t>
  </si>
  <si>
    <t>Puissance Fiscale Moto (CV) :</t>
  </si>
  <si>
    <t>Puissance Fiscale Auto (CV) :</t>
  </si>
  <si>
    <t>Renseigner :</t>
  </si>
  <si>
    <t>Associé(e) n° 1 :</t>
  </si>
  <si>
    <t>ATTENTION : mise à jour auto avec feuille masquée "Calculs"</t>
  </si>
  <si>
    <t xml:space="preserve">Raison Sociale :   </t>
  </si>
  <si>
    <t>Associé(e) n° 2 :</t>
  </si>
  <si>
    <t>Associé(e) n° 3 :</t>
  </si>
  <si>
    <t>Associé(e) n° 4 :</t>
  </si>
  <si>
    <t>Associé(e) n° 5 :</t>
  </si>
  <si>
    <t>IK GENERAL AUTO asso 1</t>
  </si>
  <si>
    <t>IK GENERAL MOTO asso 1</t>
  </si>
  <si>
    <t>IK GENERAL AUTO asso 2</t>
  </si>
  <si>
    <t>IK GENERAL MOTO asso 2</t>
  </si>
  <si>
    <t>IK GENERAL AUTO asso 3</t>
  </si>
  <si>
    <t>IK GENERAL MOTO asso 3</t>
  </si>
  <si>
    <t>IK GENERAL AUTO asso 4</t>
  </si>
  <si>
    <t>IK GENERAL MOTO asso 4</t>
  </si>
  <si>
    <t>IK GENERAL AUTO asso 5</t>
  </si>
  <si>
    <t>IK GENERAL MOTO asso 5</t>
  </si>
  <si>
    <t>CALCUL DES INDEMNITÉS KILOMÉTRIQUES EN SOCIÉTÉ</t>
  </si>
  <si>
    <t>FORFAIT KILOMÉTRIQUE GÉNÉRAL  :</t>
  </si>
  <si>
    <t>Lien vers la Documentation (§ 610 du BOI)</t>
  </si>
  <si>
    <t>FORFAIT KILOMÉTRIQUE GÉNÉRAL :</t>
  </si>
  <si>
    <r>
      <t xml:space="preserve">       </t>
    </r>
    <r>
      <rPr>
        <b/>
        <sz val="28"/>
        <color indexed="56"/>
        <rFont val="Arial"/>
        <family val="2"/>
      </rPr>
      <t>FORFAITS AUTO</t>
    </r>
  </si>
  <si>
    <t>FORFAIT BIC CARBURANT - MOTOS (2016)  :</t>
  </si>
  <si>
    <t>FORFAIT BIC CARBURANT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</si>
</sst>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0.000"/>
  </numFmts>
  <fonts count="36" x14ac:knownFonts="1">
    <font>
      <sz val="10"/>
      <name val="Arial"/>
    </font>
    <font>
      <b/>
      <sz val="28"/>
      <color indexed="4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1"/>
      <color indexed="12"/>
      <name val="Arial"/>
      <family val="2"/>
    </font>
    <font>
      <b/>
      <u/>
      <sz val="11"/>
      <color indexed="48"/>
      <name val="Arial"/>
      <family val="2"/>
    </font>
    <font>
      <b/>
      <sz val="12"/>
      <color indexed="16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i/>
      <u/>
      <sz val="12"/>
      <color indexed="10"/>
      <name val="Arial"/>
      <family val="2"/>
    </font>
    <font>
      <b/>
      <i/>
      <sz val="12"/>
      <color indexed="16"/>
      <name val="Arial"/>
      <family val="2"/>
    </font>
    <font>
      <b/>
      <sz val="10"/>
      <color indexed="10"/>
      <name val="Arial"/>
      <family val="2"/>
    </font>
    <font>
      <b/>
      <sz val="12"/>
      <color indexed="53"/>
      <name val="Arial"/>
      <family val="2"/>
    </font>
    <font>
      <b/>
      <sz val="12"/>
      <color indexed="6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2"/>
      <name val="Wingdings 2"/>
      <family val="1"/>
      <charset val="2"/>
    </font>
    <font>
      <b/>
      <sz val="12"/>
      <name val="Wingdings 2"/>
      <family val="1"/>
      <charset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60"/>
      <name val="Arial"/>
      <family val="2"/>
    </font>
    <font>
      <b/>
      <sz val="11"/>
      <name val="Arial"/>
      <family val="2"/>
    </font>
    <font>
      <b/>
      <sz val="9"/>
      <color indexed="60"/>
      <name val="Arial"/>
      <family val="2"/>
    </font>
    <font>
      <b/>
      <sz val="28"/>
      <color indexed="56"/>
      <name val="Arial"/>
      <family val="2"/>
    </font>
    <font>
      <b/>
      <sz val="12"/>
      <color rgb="FF104274"/>
      <name val="Arial"/>
      <family val="2"/>
    </font>
    <font>
      <b/>
      <u/>
      <sz val="11"/>
      <color rgb="FF104274"/>
      <name val="Arial"/>
      <family val="2"/>
    </font>
    <font>
      <b/>
      <sz val="28"/>
      <color rgb="FF104274"/>
      <name val="Arial"/>
      <family val="2"/>
    </font>
    <font>
      <b/>
      <sz val="11"/>
      <color rgb="FF104274"/>
      <name val="Arial"/>
      <family val="2"/>
    </font>
    <font>
      <b/>
      <sz val="10"/>
      <color rgb="FF104274"/>
      <name val="Arial"/>
      <family val="2"/>
    </font>
    <font>
      <b/>
      <sz val="18"/>
      <color rgb="FF10427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D1D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0" fillId="0" borderId="0" xfId="0" quotePrefix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/>
    <xf numFmtId="0" fontId="1" fillId="0" borderId="0" xfId="0" applyFont="1" applyAlignment="1" applyProtection="1">
      <alignment horizontal="centerContinuous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/>
    <xf numFmtId="0" fontId="14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Continuous" vertical="center"/>
    </xf>
    <xf numFmtId="0" fontId="0" fillId="0" borderId="0" xfId="0" applyFill="1" applyProtection="1"/>
    <xf numFmtId="0" fontId="11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4" fillId="0" borderId="0" xfId="0" applyFont="1" applyProtection="1"/>
    <xf numFmtId="0" fontId="13" fillId="0" borderId="0" xfId="0" applyFont="1" applyProtection="1"/>
    <xf numFmtId="3" fontId="8" fillId="0" borderId="0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165" fontId="0" fillId="0" borderId="0" xfId="0" applyNumberFormat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3" fontId="10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 applyProtection="1">
      <alignment horizontal="right" vertical="center"/>
    </xf>
    <xf numFmtId="164" fontId="8" fillId="3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8" fillId="0" borderId="0" xfId="0" applyFont="1"/>
    <xf numFmtId="0" fontId="10" fillId="0" borderId="2" xfId="0" applyFont="1" applyBorder="1" applyAlignment="1" applyProtection="1">
      <alignment horizontal="center"/>
      <protection locked="0"/>
    </xf>
    <xf numFmtId="3" fontId="10" fillId="0" borderId="2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0" xfId="0" applyAlignment="1" applyProtection="1"/>
    <xf numFmtId="0" fontId="23" fillId="0" borderId="0" xfId="1" applyBorder="1" applyAlignment="1" applyProtection="1">
      <alignment horizontal="center" vertical="center"/>
    </xf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Fill="1" applyBorder="1" applyAlignment="1" applyProtection="1"/>
    <xf numFmtId="0" fontId="0" fillId="0" borderId="0" xfId="0" applyBorder="1" applyProtection="1"/>
    <xf numFmtId="0" fontId="0" fillId="0" borderId="0" xfId="0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left"/>
    </xf>
    <xf numFmtId="0" fontId="24" fillId="0" borderId="7" xfId="0" applyFont="1" applyBorder="1" applyAlignment="1" applyProtection="1">
      <alignment vertical="center" wrapText="1"/>
    </xf>
    <xf numFmtId="0" fontId="0" fillId="0" borderId="7" xfId="0" applyBorder="1" applyProtection="1"/>
    <xf numFmtId="164" fontId="15" fillId="0" borderId="0" xfId="0" applyNumberFormat="1" applyFont="1" applyBorder="1" applyAlignment="1" applyProtection="1">
      <alignment horizontal="center"/>
    </xf>
    <xf numFmtId="164" fontId="0" fillId="0" borderId="0" xfId="0" applyNumberFormat="1" applyProtection="1"/>
    <xf numFmtId="0" fontId="27" fillId="0" borderId="0" xfId="0" applyFont="1" applyBorder="1" applyProtection="1"/>
    <xf numFmtId="0" fontId="16" fillId="0" borderId="0" xfId="0" applyFont="1" applyProtection="1"/>
    <xf numFmtId="0" fontId="16" fillId="0" borderId="6" xfId="0" applyFont="1" applyBorder="1" applyProtection="1"/>
    <xf numFmtId="0" fontId="28" fillId="0" borderId="0" xfId="0" applyFont="1" applyBorder="1" applyProtection="1"/>
    <xf numFmtId="0" fontId="16" fillId="0" borderId="0" xfId="0" applyFont="1" applyBorder="1" applyProtection="1"/>
    <xf numFmtId="0" fontId="16" fillId="0" borderId="7" xfId="0" applyFont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8" fillId="0" borderId="0" xfId="0" applyFont="1" applyProtection="1"/>
    <xf numFmtId="0" fontId="20" fillId="0" borderId="0" xfId="0" applyFont="1" applyAlignment="1" applyProtection="1"/>
    <xf numFmtId="0" fontId="18" fillId="0" borderId="0" xfId="0" applyFont="1" applyAlignment="1" applyProtection="1"/>
    <xf numFmtId="0" fontId="18" fillId="0" borderId="0" xfId="0" applyFont="1" applyBorder="1" applyAlignment="1" applyProtection="1">
      <alignment horizontal="center"/>
    </xf>
    <xf numFmtId="0" fontId="20" fillId="0" borderId="0" xfId="0" applyFont="1" applyProtection="1"/>
    <xf numFmtId="0" fontId="21" fillId="0" borderId="0" xfId="0" applyFont="1" applyProtection="1"/>
    <xf numFmtId="0" fontId="10" fillId="0" borderId="0" xfId="0" applyFont="1" applyProtection="1"/>
    <xf numFmtId="0" fontId="30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3" fontId="30" fillId="4" borderId="2" xfId="0" applyNumberFormat="1" applyFont="1" applyFill="1" applyBorder="1" applyAlignment="1" applyProtection="1">
      <alignment horizontal="center" vertical="center"/>
      <protection locked="0"/>
    </xf>
    <xf numFmtId="3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30" fillId="4" borderId="2" xfId="0" applyFont="1" applyFill="1" applyBorder="1" applyAlignment="1" applyProtection="1">
      <alignment horizontal="centerContinuous" vertical="center"/>
    </xf>
    <xf numFmtId="0" fontId="32" fillId="0" borderId="0" xfId="0" applyFont="1" applyAlignment="1" applyProtection="1">
      <alignment horizontal="centerContinuous" vertical="center"/>
    </xf>
    <xf numFmtId="0" fontId="30" fillId="4" borderId="2" xfId="0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horizontal="right" vertical="center"/>
    </xf>
    <xf numFmtId="3" fontId="2" fillId="4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Protection="1"/>
    <xf numFmtId="0" fontId="15" fillId="4" borderId="10" xfId="0" applyFont="1" applyFill="1" applyBorder="1" applyAlignment="1" applyProtection="1">
      <alignment horizontal="left" vertical="center"/>
      <protection locked="0"/>
    </xf>
    <xf numFmtId="0" fontId="15" fillId="4" borderId="11" xfId="0" applyFont="1" applyFill="1" applyBorder="1" applyAlignment="1" applyProtection="1">
      <alignment horizontal="left" vertical="center"/>
      <protection locked="0"/>
    </xf>
    <xf numFmtId="0" fontId="15" fillId="4" borderId="12" xfId="0" applyFont="1" applyFill="1" applyBorder="1" applyAlignment="1" applyProtection="1">
      <alignment horizontal="left" vertical="center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24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164" fontId="15" fillId="0" borderId="0" xfId="0" applyNumberFormat="1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 wrapText="1"/>
    </xf>
    <xf numFmtId="3" fontId="10" fillId="0" borderId="0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wrapText="1"/>
    </xf>
    <xf numFmtId="0" fontId="26" fillId="4" borderId="10" xfId="0" applyFont="1" applyFill="1" applyBorder="1" applyAlignment="1" applyProtection="1">
      <alignment horizontal="left" vertical="center"/>
      <protection locked="0"/>
    </xf>
    <xf numFmtId="0" fontId="26" fillId="4" borderId="11" xfId="0" applyFont="1" applyFill="1" applyBorder="1" applyAlignment="1" applyProtection="1">
      <alignment horizontal="left" vertical="center"/>
      <protection locked="0"/>
    </xf>
    <xf numFmtId="0" fontId="26" fillId="4" borderId="12" xfId="0" applyFont="1" applyFill="1" applyBorder="1" applyAlignment="1" applyProtection="1">
      <alignment horizontal="left" vertical="center"/>
      <protection locked="0"/>
    </xf>
    <xf numFmtId="0" fontId="26" fillId="4" borderId="10" xfId="0" applyFont="1" applyFill="1" applyBorder="1" applyAlignment="1" applyProtection="1">
      <alignment horizontal="center" vertical="center"/>
      <protection locked="0"/>
    </xf>
    <xf numFmtId="0" fontId="26" fillId="4" borderId="12" xfId="0" applyFont="1" applyFill="1" applyBorder="1" applyAlignment="1" applyProtection="1">
      <alignment horizontal="center" vertical="center"/>
      <protection locked="0"/>
    </xf>
    <xf numFmtId="0" fontId="23" fillId="0" borderId="10" xfId="1" applyBorder="1" applyAlignment="1" applyProtection="1">
      <alignment horizontal="center" vertical="center"/>
      <protection locked="0"/>
    </xf>
    <xf numFmtId="0" fontId="23" fillId="0" borderId="11" xfId="1" applyBorder="1" applyAlignment="1" applyProtection="1">
      <alignment horizontal="center" vertical="center"/>
      <protection locked="0"/>
    </xf>
    <xf numFmtId="0" fontId="23" fillId="0" borderId="12" xfId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9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10" fillId="0" borderId="11" xfId="0" applyFont="1" applyBorder="1" applyAlignment="1" applyProtection="1">
      <alignment horizontal="left"/>
      <protection locked="0"/>
    </xf>
    <xf numFmtId="0" fontId="18" fillId="0" borderId="10" xfId="0" applyFont="1" applyBorder="1" applyAlignment="1" applyProtection="1">
      <alignment horizontal="left"/>
      <protection locked="0"/>
    </xf>
    <xf numFmtId="0" fontId="18" fillId="0" borderId="12" xfId="0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5">
    <dxf>
      <font>
        <b/>
        <i val="0"/>
        <condense val="0"/>
        <extend val="0"/>
      </font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5" dropStyle="combo" dx="22" fmlaLink="Calculs!$H$1" fmlaRange="Calculs!$G$2:$G$6" sel="1" val="0"/>
</file>

<file path=xl/ctrlProps/ctrlProp10.xml><?xml version="1.0" encoding="utf-8"?>
<formControlPr xmlns="http://schemas.microsoft.com/office/spreadsheetml/2009/9/main" objectType="Drop" dropLines="6" dropStyle="combo" dx="22" fmlaLink="'Calculs stes'!$H$32" fmlaRange="'Calculs stes'!$G$32:$G$37" sel="1" val="0"/>
</file>

<file path=xl/ctrlProps/ctrlProp11.xml><?xml version="1.0" encoding="utf-8"?>
<formControlPr xmlns="http://schemas.microsoft.com/office/spreadsheetml/2009/9/main" objectType="Drop" dropLines="5" dropStyle="combo" dx="22" fmlaLink="'Calculs stes'!$H$52" fmlaRange="'Calculs stes'!$G$52:$G$56" sel="1" val="0"/>
</file>

<file path=xl/ctrlProps/ctrlProp12.xml><?xml version="1.0" encoding="utf-8"?>
<formControlPr xmlns="http://schemas.microsoft.com/office/spreadsheetml/2009/9/main" objectType="Drop" dropLines="6" dropStyle="combo" dx="22" fmlaLink="'Calculs stes'!$H$62" fmlaRange="'Calculs stes'!$G$62:$G$67" sel="1" val="0"/>
</file>

<file path=xl/ctrlProps/ctrlProp13.xml><?xml version="1.0" encoding="utf-8"?>
<formControlPr xmlns="http://schemas.microsoft.com/office/spreadsheetml/2009/9/main" objectType="Drop" dropLines="5" dropStyle="combo" dx="22" fmlaLink="'Calculs stes'!$H$82" fmlaRange="'Calculs stes'!$G$82:$G$86" sel="1" val="0"/>
</file>

<file path=xl/ctrlProps/ctrlProp14.xml><?xml version="1.0" encoding="utf-8"?>
<formControlPr xmlns="http://schemas.microsoft.com/office/spreadsheetml/2009/9/main" objectType="Drop" dropLines="6" dropStyle="combo" dx="22" fmlaLink="'Calculs stes'!$H$92" fmlaRange="'Calculs stes'!$G$92:$G$97" sel="1" val="0"/>
</file>

<file path=xl/ctrlProps/ctrlProp15.xml><?xml version="1.0" encoding="utf-8"?>
<formControlPr xmlns="http://schemas.microsoft.com/office/spreadsheetml/2009/9/main" objectType="Drop" dropLines="5" dropStyle="combo" dx="22" fmlaLink="'Calculs stes'!$H$112" fmlaRange="'Calculs stes'!$G$112:$G$116" sel="1" val="0"/>
</file>

<file path=xl/ctrlProps/ctrlProp16.xml><?xml version="1.0" encoding="utf-8"?>
<formControlPr xmlns="http://schemas.microsoft.com/office/spreadsheetml/2009/9/main" objectType="Drop" dropLines="6" dropStyle="combo" dx="22" fmlaLink="'Calculs stes'!$H$122" fmlaRange="'Calculs stes'!$G$122:$G$127" sel="1" val="0"/>
</file>

<file path=xl/ctrlProps/ctrlProp17.xml><?xml version="1.0" encoding="utf-8"?>
<formControlPr xmlns="http://schemas.microsoft.com/office/spreadsheetml/2009/9/main" objectType="Drop" dropLines="5" dropStyle="combo" dx="22" fmlaLink="'Calculs stes'!$H$142" fmlaRange="'Calculs stes'!$G$142:$G$146" sel="1" val="0"/>
</file>

<file path=xl/ctrlProps/ctrlProp2.xml><?xml version="1.0" encoding="utf-8"?>
<formControlPr xmlns="http://schemas.microsoft.com/office/spreadsheetml/2009/9/main" objectType="Drop" dropLines="5" dropStyle="combo" dx="22" fmlaLink="Calculs!$H$19" fmlaRange="Calculs!$G$20:$G$24" sel="1" val="0"/>
</file>

<file path=xl/ctrlProps/ctrlProp3.xml><?xml version="1.0" encoding="utf-8"?>
<formControlPr xmlns="http://schemas.microsoft.com/office/spreadsheetml/2009/9/main" objectType="Drop" dropLines="4" dropStyle="combo" dx="22" fmlaLink="Calculs!$H$26" fmlaRange="Calculs!$G$26:$G$28" sel="1" val="0"/>
</file>

<file path=xl/ctrlProps/ctrlProp4.xml><?xml version="1.0" encoding="utf-8"?>
<formControlPr xmlns="http://schemas.microsoft.com/office/spreadsheetml/2009/9/main" objectType="Drop" dropLines="4" dropStyle="combo" dx="22" fmlaLink="Calculs!$H$32" fmlaRange="Calculs!$G$33:$G$36" sel="1" val="0"/>
</file>

<file path=xl/ctrlProps/ctrlProp5.xml><?xml version="1.0" encoding="utf-8"?>
<formControlPr xmlns="http://schemas.microsoft.com/office/spreadsheetml/2009/9/main" objectType="Drop" dropLines="4" dropStyle="combo" dx="22" fmlaLink="Calculs!$H$42" fmlaRange="Calculs!$G$42:$G$45" sel="2" val="0"/>
</file>

<file path=xl/ctrlProps/ctrlProp6.xml><?xml version="1.0" encoding="utf-8"?>
<formControlPr xmlns="http://schemas.microsoft.com/office/spreadsheetml/2009/9/main" objectType="Drop" dropLines="6" dropStyle="combo" dx="22" fmlaLink="'Calculs stes'!$H$2" fmlaRange="'Calculs stes'!$G$2:$G$7" sel="1" val="0"/>
</file>

<file path=xl/ctrlProps/ctrlProp7.xml><?xml version="1.0" encoding="utf-8"?>
<formControlPr xmlns="http://schemas.microsoft.com/office/spreadsheetml/2009/9/main" objectType="Drop" dropLines="5" dropStyle="combo" dx="22" fmlaLink="'Calculs stes'!$H$22" fmlaRange="'Calculs stes'!$G$22:$G$26" sel="1" val="0"/>
</file>

<file path=xl/ctrlProps/ctrlProp8.xml><?xml version="1.0" encoding="utf-8"?>
<formControlPr xmlns="http://schemas.microsoft.com/office/spreadsheetml/2009/9/main" objectType="Drop" dropLines="12" dropStyle="combo" dx="22" fmlaLink="'Calculs stes'!$H$2" fmlaRange="'Calculs stes'!$G$2:$G$13" sel="1" val="0"/>
</file>

<file path=xl/ctrlProps/ctrlProp9.xml><?xml version="1.0" encoding="utf-8"?>
<formControlPr xmlns="http://schemas.microsoft.com/office/spreadsheetml/2009/9/main" objectType="Drop" dropLines="5" dropStyle="combo" dx="22" fmlaLink="'Calculs stes'!$H$22" fmlaRange="'Calculs stes'!$G$22:$G$26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rcolib.fr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arcolib.fr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arcolib.f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0</xdr:col>
      <xdr:colOff>266700</xdr:colOff>
      <xdr:row>32</xdr:row>
      <xdr:rowOff>76200</xdr:rowOff>
    </xdr:to>
    <xdr:sp macro="" textlink="">
      <xdr:nvSpPr>
        <xdr:cNvPr id="1028" name="Texte 4"/>
        <xdr:cNvSpPr txBox="1">
          <a:spLocks noChangeArrowheads="1"/>
        </xdr:cNvSpPr>
      </xdr:nvSpPr>
      <xdr:spPr bwMode="auto">
        <a:xfrm>
          <a:off x="19050" y="723900"/>
          <a:ext cx="247650" cy="5800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00000"/>
              </a:solidFill>
              <a:latin typeface="Arial"/>
              <a:cs typeface="Arial"/>
            </a:rPr>
            <a:t>La responsabilité d'ARCOLIB ne saurait être engagée suite à l'utilisation de ce document.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9525</xdr:rowOff>
        </xdr:from>
        <xdr:to>
          <xdr:col>4</xdr:col>
          <xdr:colOff>0</xdr:colOff>
          <xdr:row>10</xdr:row>
          <xdr:rowOff>209550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28575</xdr:rowOff>
        </xdr:from>
        <xdr:to>
          <xdr:col>3</xdr:col>
          <xdr:colOff>1114425</xdr:colOff>
          <xdr:row>21</xdr:row>
          <xdr:rowOff>228600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9525</xdr:rowOff>
        </xdr:from>
        <xdr:to>
          <xdr:col>4</xdr:col>
          <xdr:colOff>0</xdr:colOff>
          <xdr:row>25</xdr:row>
          <xdr:rowOff>28575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1076325</xdr:colOff>
      <xdr:row>1</xdr:row>
      <xdr:rowOff>123825</xdr:rowOff>
    </xdr:to>
    <xdr:pic>
      <xdr:nvPicPr>
        <xdr:cNvPr id="1187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9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266700</xdr:colOff>
      <xdr:row>30</xdr:row>
      <xdr:rowOff>9525</xdr:rowOff>
    </xdr:to>
    <xdr:sp macro="" textlink="">
      <xdr:nvSpPr>
        <xdr:cNvPr id="2050" name="Texte 2"/>
        <xdr:cNvSpPr txBox="1">
          <a:spLocks noChangeArrowheads="1"/>
        </xdr:cNvSpPr>
      </xdr:nvSpPr>
      <xdr:spPr bwMode="auto">
        <a:xfrm>
          <a:off x="19050" y="742950"/>
          <a:ext cx="247650" cy="5848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00000"/>
              </a:solidFill>
              <a:latin typeface="Arial"/>
              <a:cs typeface="Arial"/>
            </a:rPr>
            <a:t>La responsabilité d'ARCOLIB ne saurait être engagée suite à l'utilisation de ce document.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66675</xdr:rowOff>
        </xdr:from>
        <xdr:to>
          <xdr:col>4</xdr:col>
          <xdr:colOff>0</xdr:colOff>
          <xdr:row>7</xdr:row>
          <xdr:rowOff>266700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9525</xdr:rowOff>
        </xdr:from>
        <xdr:to>
          <xdr:col>4</xdr:col>
          <xdr:colOff>0</xdr:colOff>
          <xdr:row>18</xdr:row>
          <xdr:rowOff>209550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142875</xdr:colOff>
      <xdr:row>0</xdr:row>
      <xdr:rowOff>47625</xdr:rowOff>
    </xdr:from>
    <xdr:to>
      <xdr:col>1</xdr:col>
      <xdr:colOff>1095375</xdr:colOff>
      <xdr:row>1</xdr:row>
      <xdr:rowOff>114300</xdr:rowOff>
    </xdr:to>
    <xdr:pic>
      <xdr:nvPicPr>
        <xdr:cNvPr id="2207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1285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0</xdr:col>
      <xdr:colOff>247650</xdr:colOff>
      <xdr:row>44</xdr:row>
      <xdr:rowOff>47625</xdr:rowOff>
    </xdr:to>
    <xdr:sp macro="" textlink="">
      <xdr:nvSpPr>
        <xdr:cNvPr id="2050" name="Texte 2"/>
        <xdr:cNvSpPr txBox="1">
          <a:spLocks noChangeArrowheads="1"/>
        </xdr:cNvSpPr>
      </xdr:nvSpPr>
      <xdr:spPr bwMode="auto">
        <a:xfrm>
          <a:off x="19050" y="742950"/>
          <a:ext cx="247650" cy="5848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00000"/>
              </a:solidFill>
              <a:latin typeface="Arial"/>
              <a:cs typeface="Arial"/>
            </a:rPr>
            <a:t>La responsabilité d'ARCOLIB</a:t>
          </a:r>
          <a:r>
            <a:rPr lang="fr-FR" sz="1000" b="1" i="1" strike="noStrike" baseline="0">
              <a:solidFill>
                <a:srgbClr val="000000"/>
              </a:solidFill>
              <a:latin typeface="Arial"/>
              <a:cs typeface="Arial"/>
            </a:rPr>
            <a:t> n</a:t>
          </a:r>
          <a:r>
            <a:rPr lang="fr-FR" sz="1000" b="1" i="1" strike="noStrike">
              <a:solidFill>
                <a:srgbClr val="000000"/>
              </a:solidFill>
              <a:latin typeface="Arial"/>
              <a:cs typeface="Arial"/>
            </a:rPr>
            <a:t>e saurait être engagée suite à l'utilisation de ce document.</a:t>
          </a:r>
        </a:p>
      </xdr:txBody>
    </xdr:sp>
    <xdr:clientData/>
  </xdr:twoCellAnchor>
  <xdr:twoCellAnchor>
    <xdr:from>
      <xdr:col>0</xdr:col>
      <xdr:colOff>0</xdr:colOff>
      <xdr:row>54</xdr:row>
      <xdr:rowOff>28575</xdr:rowOff>
    </xdr:from>
    <xdr:to>
      <xdr:col>0</xdr:col>
      <xdr:colOff>247650</xdr:colOff>
      <xdr:row>97</xdr:row>
      <xdr:rowOff>152400</xdr:rowOff>
    </xdr:to>
    <xdr:sp macro="" textlink="">
      <xdr:nvSpPr>
        <xdr:cNvPr id="2" name="Texte 2"/>
        <xdr:cNvSpPr txBox="1">
          <a:spLocks noChangeArrowheads="1"/>
        </xdr:cNvSpPr>
      </xdr:nvSpPr>
      <xdr:spPr bwMode="auto">
        <a:xfrm>
          <a:off x="19050" y="742950"/>
          <a:ext cx="247650" cy="5848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00000"/>
              </a:solidFill>
              <a:latin typeface="Arial"/>
              <a:cs typeface="Arial"/>
            </a:rPr>
            <a:t>La responsabilité d'ARCOLIB ne saurait être engagée suite à l'utilisation de ce document.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12</xdr:row>
          <xdr:rowOff>0</xdr:rowOff>
        </xdr:from>
        <xdr:to>
          <xdr:col>4</xdr:col>
          <xdr:colOff>895350</xdr:colOff>
          <xdr:row>13</xdr:row>
          <xdr:rowOff>9525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13</xdr:row>
          <xdr:rowOff>0</xdr:rowOff>
        </xdr:from>
        <xdr:to>
          <xdr:col>4</xdr:col>
          <xdr:colOff>895350</xdr:colOff>
          <xdr:row>14</xdr:row>
          <xdr:rowOff>0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31</xdr:row>
          <xdr:rowOff>0</xdr:rowOff>
        </xdr:from>
        <xdr:to>
          <xdr:col>4</xdr:col>
          <xdr:colOff>895350</xdr:colOff>
          <xdr:row>32</xdr:row>
          <xdr:rowOff>9525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32</xdr:row>
          <xdr:rowOff>0</xdr:rowOff>
        </xdr:from>
        <xdr:to>
          <xdr:col>4</xdr:col>
          <xdr:colOff>895350</xdr:colOff>
          <xdr:row>33</xdr:row>
          <xdr:rowOff>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31</xdr:row>
          <xdr:rowOff>0</xdr:rowOff>
        </xdr:from>
        <xdr:to>
          <xdr:col>4</xdr:col>
          <xdr:colOff>895350</xdr:colOff>
          <xdr:row>32</xdr:row>
          <xdr:rowOff>9525</xdr:rowOff>
        </xdr:to>
        <xdr:sp macro="" textlink="">
          <xdr:nvSpPr>
            <xdr:cNvPr id="5129" name="Drop Down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32</xdr:row>
          <xdr:rowOff>0</xdr:rowOff>
        </xdr:from>
        <xdr:to>
          <xdr:col>4</xdr:col>
          <xdr:colOff>895350</xdr:colOff>
          <xdr:row>33</xdr:row>
          <xdr:rowOff>0</xdr:rowOff>
        </xdr:to>
        <xdr:sp macro="" textlink="">
          <xdr:nvSpPr>
            <xdr:cNvPr id="5130" name="Drop Down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50</xdr:row>
          <xdr:rowOff>0</xdr:rowOff>
        </xdr:from>
        <xdr:to>
          <xdr:col>4</xdr:col>
          <xdr:colOff>895350</xdr:colOff>
          <xdr:row>51</xdr:row>
          <xdr:rowOff>9525</xdr:rowOff>
        </xdr:to>
        <xdr:sp macro="" textlink="">
          <xdr:nvSpPr>
            <xdr:cNvPr id="5131" name="Drop Down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51</xdr:row>
          <xdr:rowOff>0</xdr:rowOff>
        </xdr:from>
        <xdr:to>
          <xdr:col>4</xdr:col>
          <xdr:colOff>895350</xdr:colOff>
          <xdr:row>52</xdr:row>
          <xdr:rowOff>0</xdr:rowOff>
        </xdr:to>
        <xdr:sp macro="" textlink="">
          <xdr:nvSpPr>
            <xdr:cNvPr id="5132" name="Drop Down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69</xdr:row>
          <xdr:rowOff>0</xdr:rowOff>
        </xdr:from>
        <xdr:to>
          <xdr:col>4</xdr:col>
          <xdr:colOff>895350</xdr:colOff>
          <xdr:row>70</xdr:row>
          <xdr:rowOff>9525</xdr:rowOff>
        </xdr:to>
        <xdr:sp macro="" textlink="">
          <xdr:nvSpPr>
            <xdr:cNvPr id="5133" name="Drop Down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70</xdr:row>
          <xdr:rowOff>0</xdr:rowOff>
        </xdr:from>
        <xdr:to>
          <xdr:col>4</xdr:col>
          <xdr:colOff>895350</xdr:colOff>
          <xdr:row>71</xdr:row>
          <xdr:rowOff>0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88</xdr:row>
          <xdr:rowOff>0</xdr:rowOff>
        </xdr:from>
        <xdr:to>
          <xdr:col>4</xdr:col>
          <xdr:colOff>895350</xdr:colOff>
          <xdr:row>89</xdr:row>
          <xdr:rowOff>9525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89</xdr:row>
          <xdr:rowOff>0</xdr:rowOff>
        </xdr:from>
        <xdr:to>
          <xdr:col>4</xdr:col>
          <xdr:colOff>895350</xdr:colOff>
          <xdr:row>90</xdr:row>
          <xdr:rowOff>0</xdr:rowOff>
        </xdr:to>
        <xdr:sp macro="" textlink="">
          <xdr:nvSpPr>
            <xdr:cNvPr id="5136" name="Drop Down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142875</xdr:colOff>
      <xdr:row>0</xdr:row>
      <xdr:rowOff>57150</xdr:rowOff>
    </xdr:from>
    <xdr:to>
      <xdr:col>2</xdr:col>
      <xdr:colOff>1019175</xdr:colOff>
      <xdr:row>1</xdr:row>
      <xdr:rowOff>28575</xdr:rowOff>
    </xdr:to>
    <xdr:pic>
      <xdr:nvPicPr>
        <xdr:cNvPr id="5344" name="Image 16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1285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17.xml"/><Relationship Id="rId1" Type="http://schemas.openxmlformats.org/officeDocument/2006/relationships/hyperlink" Target="http://bofip.impots.gouv.fr/bofip/4634-PGP.html?identifiant=BOI-BNC-BASE-40-60-40-20-20160830" TargetMode="External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5" Type="http://schemas.openxmlformats.org/officeDocument/2006/relationships/ctrlProp" Target="../ctrlProps/ctrlProp16.xml"/><Relationship Id="rId10" Type="http://schemas.openxmlformats.org/officeDocument/2006/relationships/ctrlProp" Target="../ctrlProps/ctrlProp11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B1:H30"/>
  <sheetViews>
    <sheetView showGridLines="0" showRowColHeaders="0" showZeros="0" tabSelected="1" workbookViewId="0">
      <selection activeCell="F6" sqref="F6"/>
    </sheetView>
  </sheetViews>
  <sheetFormatPr baseColWidth="10" defaultRowHeight="12.75" x14ac:dyDescent="0.2"/>
  <cols>
    <col min="1" max="1" width="5" style="10" customWidth="1"/>
    <col min="2" max="2" width="31" style="10" customWidth="1"/>
    <col min="3" max="3" width="4.140625" style="10" customWidth="1"/>
    <col min="4" max="4" width="16.85546875" style="10" customWidth="1"/>
    <col min="5" max="5" width="16.28515625" style="10" customWidth="1"/>
    <col min="6" max="6" width="13" style="10" customWidth="1"/>
    <col min="7" max="8" width="11.42578125" style="10"/>
    <col min="9" max="9" width="2.42578125" style="10" customWidth="1"/>
    <col min="10" max="16384" width="11.42578125" style="10"/>
  </cols>
  <sheetData>
    <row r="1" spans="2:8" ht="42.75" customHeight="1" x14ac:dyDescent="0.2">
      <c r="B1" s="8" t="s">
        <v>85</v>
      </c>
      <c r="C1" s="8"/>
      <c r="D1" s="8"/>
      <c r="E1" s="8"/>
      <c r="F1" s="8"/>
      <c r="G1" s="9"/>
      <c r="H1" s="9"/>
    </row>
    <row r="2" spans="2:8" ht="13.5" customHeight="1" x14ac:dyDescent="0.2">
      <c r="B2" s="8"/>
      <c r="C2" s="8"/>
      <c r="D2" s="8"/>
      <c r="E2" s="8"/>
      <c r="F2" s="8"/>
      <c r="G2" s="9"/>
      <c r="H2" s="9"/>
    </row>
    <row r="3" spans="2:8" ht="16.5" customHeight="1" x14ac:dyDescent="0.2">
      <c r="B3" s="71" t="s">
        <v>0</v>
      </c>
      <c r="C3" s="81"/>
      <c r="D3" s="82"/>
      <c r="E3" s="82"/>
      <c r="F3" s="83"/>
      <c r="G3" s="9"/>
      <c r="H3" s="9"/>
    </row>
    <row r="4" spans="2:8" ht="17.25" customHeight="1" x14ac:dyDescent="0.2">
      <c r="B4" s="71" t="s">
        <v>1</v>
      </c>
      <c r="C4" s="81"/>
      <c r="D4" s="82"/>
      <c r="E4" s="82"/>
      <c r="F4" s="83"/>
      <c r="G4" s="9"/>
      <c r="H4" s="9"/>
    </row>
    <row r="5" spans="2:8" ht="17.25" customHeight="1" x14ac:dyDescent="0.2">
      <c r="B5" s="71" t="s">
        <v>2</v>
      </c>
      <c r="C5" s="84"/>
      <c r="D5" s="85"/>
      <c r="E5" s="71" t="s">
        <v>23</v>
      </c>
      <c r="F5" s="75">
        <v>2019</v>
      </c>
      <c r="G5" s="9"/>
      <c r="H5" s="9"/>
    </row>
    <row r="6" spans="2:8" ht="12.75" customHeight="1" x14ac:dyDescent="0.2">
      <c r="B6" s="8"/>
      <c r="C6" s="8"/>
      <c r="D6" s="8"/>
      <c r="E6" s="8"/>
      <c r="F6" s="8"/>
      <c r="G6" s="9"/>
      <c r="H6" s="9"/>
    </row>
    <row r="7" spans="2:8" ht="23.25" customHeight="1" x14ac:dyDescent="0.2">
      <c r="B7" s="72" t="s">
        <v>82</v>
      </c>
      <c r="C7" s="12"/>
    </row>
    <row r="8" spans="2:8" ht="11.25" customHeight="1" x14ac:dyDescent="0.2">
      <c r="B8" s="13" t="s">
        <v>3</v>
      </c>
      <c r="C8" s="12"/>
    </row>
    <row r="9" spans="2:8" x14ac:dyDescent="0.2">
      <c r="B9" s="13" t="s">
        <v>4</v>
      </c>
    </row>
    <row r="10" spans="2:8" ht="8.25" customHeight="1" x14ac:dyDescent="0.2">
      <c r="B10" s="13"/>
    </row>
    <row r="11" spans="2:8" ht="22.5" customHeight="1" x14ac:dyDescent="0.2">
      <c r="B11" s="14" t="s">
        <v>5</v>
      </c>
      <c r="C11" s="14"/>
      <c r="D11" s="15"/>
    </row>
    <row r="12" spans="2:8" ht="22.5" customHeight="1" x14ac:dyDescent="0.2">
      <c r="B12" s="14" t="str">
        <f>"Kilométrage professionnel en "&amp;F5&amp;" :"</f>
        <v>Kilométrage professionnel en 2019 :</v>
      </c>
      <c r="C12" s="14"/>
      <c r="D12" s="73"/>
    </row>
    <row r="13" spans="2:8" ht="9" customHeight="1" x14ac:dyDescent="0.2"/>
    <row r="14" spans="2:8" ht="7.5" customHeight="1" x14ac:dyDescent="0.2"/>
    <row r="15" spans="2:8" ht="22.5" customHeight="1" x14ac:dyDescent="0.2">
      <c r="B15" s="16" t="str">
        <f>IF(D12=0,"","INDEMNITE KILOMETRIQUE "&amp;F5&amp;" :")</f>
        <v/>
      </c>
      <c r="C15" s="16"/>
      <c r="D15" s="16"/>
      <c r="E15" s="24">
        <f>IF(Calculs!B17=0,0,Calculs!B17)</f>
        <v>0</v>
      </c>
      <c r="F15" s="17"/>
    </row>
    <row r="16" spans="2:8" ht="6" customHeight="1" x14ac:dyDescent="0.2"/>
    <row r="17" spans="2:6" ht="20.25" customHeight="1" x14ac:dyDescent="0.2">
      <c r="B17" s="18" t="str">
        <f>IF(D12=0,"","FORMULE :")</f>
        <v/>
      </c>
      <c r="C17" s="19" t="str">
        <f>IF(D12=0,"","( " &amp; FIXED(D12,0) &amp; " x " &amp; Calculs!D17 &amp; " = " &amp; FIXED(E15,0)&amp;" €")</f>
        <v/>
      </c>
      <c r="D17" s="19"/>
      <c r="E17" s="19"/>
      <c r="F17" s="19"/>
    </row>
    <row r="19" spans="2:6" ht="23.25" customHeight="1" x14ac:dyDescent="0.2">
      <c r="B19" s="72" t="s">
        <v>87</v>
      </c>
      <c r="C19" s="20"/>
    </row>
    <row r="20" spans="2:6" ht="10.5" customHeight="1" x14ac:dyDescent="0.2">
      <c r="B20" s="13" t="s">
        <v>6</v>
      </c>
      <c r="C20" s="13"/>
    </row>
    <row r="22" spans="2:6" ht="22.5" customHeight="1" x14ac:dyDescent="0.2">
      <c r="B22" s="14" t="s">
        <v>5</v>
      </c>
      <c r="C22" s="14"/>
      <c r="D22" s="15"/>
    </row>
    <row r="23" spans="2:6" ht="22.5" customHeight="1" x14ac:dyDescent="0.2">
      <c r="B23" s="14" t="str">
        <f>"Kilométrage professionnel en "&amp;F5&amp;" :"</f>
        <v>Kilométrage professionnel en 2019 :</v>
      </c>
      <c r="C23" s="14"/>
      <c r="D23" s="74"/>
    </row>
    <row r="24" spans="2:6" ht="6" customHeight="1" x14ac:dyDescent="0.2"/>
    <row r="25" spans="2:6" ht="14.25" customHeight="1" x14ac:dyDescent="0.2">
      <c r="B25" s="25" t="s">
        <v>30</v>
      </c>
      <c r="C25" s="21"/>
    </row>
    <row r="26" spans="2:6" ht="6.75" customHeight="1" x14ac:dyDescent="0.2"/>
    <row r="27" spans="2:6" ht="11.25" customHeight="1" x14ac:dyDescent="0.2"/>
    <row r="28" spans="2:6" ht="22.5" customHeight="1" x14ac:dyDescent="0.2">
      <c r="B28" s="16" t="str">
        <f>IF(D23=0,"","FORFAIT BIC CARBURANT "&amp;F5&amp;" :")</f>
        <v/>
      </c>
      <c r="C28" s="16"/>
      <c r="D28" s="16"/>
      <c r="E28" s="24">
        <f>IF(Calculs!B28=0,0,Calculs!B28)</f>
        <v>0</v>
      </c>
    </row>
    <row r="29" spans="2:6" x14ac:dyDescent="0.2">
      <c r="B29" s="22" t="str">
        <f>IF(D23=0,"","(Annexe OBLIGATOIRE à joindre à la 2035 - cf dernier onglet)")</f>
        <v/>
      </c>
    </row>
    <row r="30" spans="2:6" ht="20.25" customHeight="1" x14ac:dyDescent="0.2">
      <c r="B30" s="18" t="str">
        <f>IF(D23=0,"","FORMULE :")</f>
        <v/>
      </c>
      <c r="C30" s="19" t="str">
        <f>IF(D23=0,"","( " &amp; FIXED(D23,0) &amp; " x " &amp; FIXED(Calculs!D28,3) &amp; " ) = " &amp; FIXED(E28,0)&amp;" €")</f>
        <v/>
      </c>
      <c r="D30" s="19"/>
      <c r="E30" s="19"/>
      <c r="F30" s="19"/>
    </row>
  </sheetData>
  <sheetProtection selectLockedCells="1"/>
  <mergeCells count="3">
    <mergeCell ref="C3:F3"/>
    <mergeCell ref="C4:F4"/>
    <mergeCell ref="C5:D5"/>
  </mergeCells>
  <phoneticPr fontId="16" type="noConversion"/>
  <conditionalFormatting sqref="E15">
    <cfRule type="cellIs" dxfId="4" priority="1" stopIfTrue="1" operator="notEqual">
      <formula>0</formula>
    </cfRule>
  </conditionalFormatting>
  <conditionalFormatting sqref="E28">
    <cfRule type="cellIs" dxfId="3" priority="2" stopIfTrue="1" operator="not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9525</xdr:rowOff>
                  </from>
                  <to>
                    <xdr:col>4</xdr:col>
                    <xdr:colOff>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3</xdr:col>
                    <xdr:colOff>0</xdr:colOff>
                    <xdr:row>21</xdr:row>
                    <xdr:rowOff>28575</xdr:rowOff>
                  </from>
                  <to>
                    <xdr:col>3</xdr:col>
                    <xdr:colOff>1114425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3</xdr:col>
                    <xdr:colOff>0</xdr:colOff>
                    <xdr:row>24</xdr:row>
                    <xdr:rowOff>9525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4"/>
  </sheetPr>
  <dimension ref="B1:J25"/>
  <sheetViews>
    <sheetView showGridLines="0" showRowColHeaders="0" showZeros="0" workbookViewId="0">
      <selection activeCell="F6" sqref="F6"/>
    </sheetView>
  </sheetViews>
  <sheetFormatPr baseColWidth="10" defaultRowHeight="12.75" x14ac:dyDescent="0.2"/>
  <cols>
    <col min="1" max="1" width="5" style="10" customWidth="1"/>
    <col min="2" max="2" width="31" style="10" customWidth="1"/>
    <col min="3" max="3" width="4.140625" style="10" customWidth="1"/>
    <col min="4" max="4" width="16.85546875" style="10" customWidth="1"/>
    <col min="5" max="5" width="16.28515625" style="10" customWidth="1"/>
    <col min="6" max="6" width="13" style="10" customWidth="1"/>
    <col min="7" max="7" width="33.42578125" style="10" customWidth="1"/>
    <col min="8" max="8" width="2.85546875" style="10" customWidth="1"/>
    <col min="9" max="9" width="16" style="10" customWidth="1"/>
    <col min="10" max="10" width="18.85546875" style="10" customWidth="1"/>
    <col min="11" max="16384" width="11.42578125" style="10"/>
  </cols>
  <sheetData>
    <row r="1" spans="2:10" ht="42.75" customHeight="1" x14ac:dyDescent="0.2">
      <c r="B1" s="76" t="s">
        <v>41</v>
      </c>
      <c r="C1" s="8"/>
      <c r="D1" s="8"/>
      <c r="E1" s="8"/>
      <c r="F1" s="8"/>
      <c r="G1" s="9"/>
      <c r="H1" s="9"/>
    </row>
    <row r="2" spans="2:10" ht="14.25" customHeight="1" x14ac:dyDescent="0.2">
      <c r="B2" s="8"/>
      <c r="C2" s="8"/>
      <c r="D2" s="8"/>
      <c r="E2" s="8"/>
      <c r="F2" s="8"/>
      <c r="G2" s="9"/>
      <c r="H2" s="9"/>
    </row>
    <row r="3" spans="2:10" ht="16.5" customHeight="1" x14ac:dyDescent="0.2">
      <c r="B3" s="71" t="s">
        <v>0</v>
      </c>
      <c r="C3" s="81"/>
      <c r="D3" s="82"/>
      <c r="E3" s="82"/>
      <c r="F3" s="83"/>
      <c r="G3" s="9"/>
      <c r="H3" s="9"/>
    </row>
    <row r="4" spans="2:10" ht="17.25" customHeight="1" x14ac:dyDescent="0.2">
      <c r="B4" s="71" t="s">
        <v>1</v>
      </c>
      <c r="C4" s="81"/>
      <c r="D4" s="82"/>
      <c r="E4" s="82"/>
      <c r="F4" s="83"/>
      <c r="G4" s="9"/>
      <c r="H4" s="9"/>
    </row>
    <row r="5" spans="2:10" ht="17.25" customHeight="1" x14ac:dyDescent="0.2">
      <c r="B5" s="71" t="s">
        <v>2</v>
      </c>
      <c r="C5" s="84"/>
      <c r="D5" s="85"/>
      <c r="E5" s="71" t="s">
        <v>23</v>
      </c>
      <c r="F5" s="77">
        <v>2019</v>
      </c>
      <c r="G5" s="9"/>
      <c r="H5" s="9"/>
    </row>
    <row r="6" spans="2:10" ht="10.5" customHeight="1" x14ac:dyDescent="0.2">
      <c r="B6" s="11"/>
      <c r="C6" s="34"/>
      <c r="D6" s="34"/>
      <c r="E6" s="32"/>
      <c r="F6" s="34"/>
      <c r="G6" s="9"/>
      <c r="H6" s="9"/>
    </row>
    <row r="7" spans="2:10" ht="24.75" customHeight="1" x14ac:dyDescent="0.2">
      <c r="B7" s="72" t="s">
        <v>84</v>
      </c>
      <c r="G7" s="27"/>
      <c r="H7" s="27"/>
      <c r="I7" s="27"/>
      <c r="J7" s="27"/>
    </row>
    <row r="8" spans="2:10" ht="27.75" customHeight="1" x14ac:dyDescent="0.2">
      <c r="B8" s="14" t="s">
        <v>38</v>
      </c>
      <c r="C8" s="14"/>
      <c r="D8" s="15"/>
      <c r="G8" s="28"/>
      <c r="H8" s="28"/>
      <c r="I8" s="29"/>
      <c r="J8" s="27"/>
    </row>
    <row r="9" spans="2:10" ht="22.5" customHeight="1" x14ac:dyDescent="0.2">
      <c r="B9" s="14" t="str">
        <f>"Kilométrage professionnel en "&amp;F5&amp;" :"</f>
        <v>Kilométrage professionnel en 2019 :</v>
      </c>
      <c r="C9" s="14"/>
      <c r="D9" s="74"/>
      <c r="G9" s="28"/>
      <c r="H9" s="28"/>
      <c r="I9" s="30"/>
      <c r="J9" s="27"/>
    </row>
    <row r="10" spans="2:10" x14ac:dyDescent="0.2">
      <c r="G10" s="27"/>
      <c r="H10" s="27"/>
      <c r="I10" s="27"/>
      <c r="J10" s="27"/>
    </row>
    <row r="11" spans="2:10" ht="22.5" customHeight="1" x14ac:dyDescent="0.2">
      <c r="B11" s="16" t="str">
        <f>IF(D9=0,"","INDEMNITE KILOMETRIQUE "&amp;F5&amp;" :")</f>
        <v/>
      </c>
      <c r="C11" s="16"/>
      <c r="D11" s="16"/>
      <c r="E11" s="33">
        <f>IF(Calculs!B37=0,0,Calculs!B37)</f>
        <v>0</v>
      </c>
      <c r="F11" s="17"/>
      <c r="G11" s="31"/>
      <c r="H11" s="31"/>
      <c r="I11" s="31"/>
      <c r="J11" s="23" t="str">
        <f>IF(Calculs!G17=0,"",Calculs!G17 &amp; " €")</f>
        <v/>
      </c>
    </row>
    <row r="13" spans="2:10" ht="20.25" customHeight="1" x14ac:dyDescent="0.2">
      <c r="B13" s="18" t="str">
        <f>IF(D9=0,"","FORMULE :")</f>
        <v/>
      </c>
      <c r="C13" s="19" t="str">
        <f>IF(D9=0,"","( "&amp;FIXED(D9,0)&amp;" x "&amp;Calculs!D37&amp;" = "&amp;FIXED(E11,0)&amp;" €")</f>
        <v/>
      </c>
      <c r="D13" s="19"/>
      <c r="E13" s="19"/>
      <c r="F13" s="19"/>
    </row>
    <row r="15" spans="2:10" ht="23.25" customHeight="1" x14ac:dyDescent="0.2">
      <c r="B15" s="72" t="s">
        <v>86</v>
      </c>
      <c r="C15" s="20"/>
    </row>
    <row r="16" spans="2:10" ht="10.5" customHeight="1" x14ac:dyDescent="0.2">
      <c r="B16" s="13" t="s">
        <v>7</v>
      </c>
      <c r="C16" s="13"/>
    </row>
    <row r="17" spans="2:6" ht="3.75" customHeight="1" x14ac:dyDescent="0.2">
      <c r="B17" s="13"/>
      <c r="C17" s="13"/>
    </row>
    <row r="19" spans="2:6" ht="22.5" customHeight="1" x14ac:dyDescent="0.2">
      <c r="B19" s="14" t="s">
        <v>38</v>
      </c>
      <c r="C19" s="14"/>
      <c r="D19" s="15"/>
    </row>
    <row r="20" spans="2:6" ht="22.5" customHeight="1" x14ac:dyDescent="0.2">
      <c r="B20" s="14" t="str">
        <f>"Kilométrage professionnel en "&amp;F5&amp;" :"</f>
        <v>Kilométrage professionnel en 2019 :</v>
      </c>
      <c r="C20" s="14"/>
      <c r="D20" s="74"/>
    </row>
    <row r="23" spans="2:6" ht="22.5" customHeight="1" x14ac:dyDescent="0.2">
      <c r="B23" s="16" t="str">
        <f>IF(D20=0,"","FORFAIT BIC CARBURANT "&amp;F5&amp;" :")</f>
        <v/>
      </c>
      <c r="C23" s="16"/>
      <c r="D23" s="16"/>
      <c r="E23" s="24">
        <f>IF(Calculs!B46=0,0,Calculs!B46)</f>
        <v>0</v>
      </c>
    </row>
    <row r="24" spans="2:6" x14ac:dyDescent="0.2">
      <c r="B24" s="22" t="str">
        <f>IF(D20=0,"","(Annexe OBLIGATOIRE à joindre à la 2035 - cf dernier onglet)")</f>
        <v/>
      </c>
    </row>
    <row r="25" spans="2:6" ht="24" customHeight="1" x14ac:dyDescent="0.2">
      <c r="B25" s="18" t="str">
        <f>IF(D20=0,"","FORMULE :")</f>
        <v/>
      </c>
      <c r="C25" s="19" t="str">
        <f>IF(D20=0,"","( " &amp; FIXED(D20,0) &amp; " x " &amp; Calculs!D46 &amp; " = " &amp; FIXED(E23,0)&amp;" €")</f>
        <v/>
      </c>
      <c r="D25" s="19"/>
      <c r="E25" s="19"/>
      <c r="F25" s="19"/>
    </row>
  </sheetData>
  <sheetProtection selectLockedCells="1"/>
  <mergeCells count="3">
    <mergeCell ref="C3:F3"/>
    <mergeCell ref="C4:F4"/>
    <mergeCell ref="C5:D5"/>
  </mergeCells>
  <phoneticPr fontId="16" type="noConversion"/>
  <conditionalFormatting sqref="E11 E23">
    <cfRule type="cellIs" dxfId="2" priority="1" stopIfTrue="1" operator="not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Drop Down 5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66675</xdr:rowOff>
                  </from>
                  <to>
                    <xdr:col>4</xdr:col>
                    <xdr:colOff>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9525</xdr:rowOff>
                  </from>
                  <to>
                    <xdr:col>4</xdr:col>
                    <xdr:colOff>0</xdr:colOff>
                    <xdr:row>18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</sheetPr>
  <dimension ref="A1:L103"/>
  <sheetViews>
    <sheetView showGridLines="0" showRowColHeaders="0" showZeros="0" topLeftCell="A22" workbookViewId="0">
      <selection activeCell="L20" sqref="L20"/>
    </sheetView>
  </sheetViews>
  <sheetFormatPr baseColWidth="10" defaultRowHeight="12.75" x14ac:dyDescent="0.2"/>
  <cols>
    <col min="1" max="1" width="5.140625" style="10" customWidth="1"/>
    <col min="2" max="2" width="1" style="10" customWidth="1"/>
    <col min="3" max="3" width="19.140625" style="10" customWidth="1"/>
    <col min="4" max="4" width="15.140625" style="10" customWidth="1"/>
    <col min="5" max="5" width="18.85546875" style="10" customWidth="1"/>
    <col min="6" max="6" width="16" style="10" customWidth="1"/>
    <col min="7" max="7" width="17.28515625" style="10" customWidth="1"/>
    <col min="8" max="8" width="1" style="10" customWidth="1"/>
    <col min="9" max="9" width="1.140625" style="10" customWidth="1"/>
    <col min="10" max="16384" width="11.42578125" style="10"/>
  </cols>
  <sheetData>
    <row r="1" spans="1:8" ht="50.25" customHeight="1" x14ac:dyDescent="0.35">
      <c r="A1" s="41"/>
      <c r="B1" s="41"/>
      <c r="C1" s="41"/>
      <c r="D1" s="93" t="s">
        <v>81</v>
      </c>
      <c r="E1" s="93"/>
      <c r="F1" s="93"/>
      <c r="G1" s="93"/>
      <c r="H1" s="93"/>
    </row>
    <row r="2" spans="1:8" ht="6.75" customHeight="1" x14ac:dyDescent="0.2"/>
    <row r="3" spans="1:8" ht="7.5" customHeight="1" x14ac:dyDescent="0.2"/>
    <row r="4" spans="1:8" ht="16.5" customHeight="1" x14ac:dyDescent="0.2">
      <c r="C4" s="99" t="s">
        <v>83</v>
      </c>
      <c r="D4" s="100"/>
      <c r="E4" s="100"/>
      <c r="F4" s="100"/>
      <c r="G4" s="100"/>
      <c r="H4" s="101"/>
    </row>
    <row r="5" spans="1:8" ht="12.75" customHeight="1" x14ac:dyDescent="0.2">
      <c r="C5" s="42"/>
      <c r="D5" s="42"/>
      <c r="E5" s="42"/>
      <c r="F5" s="42"/>
      <c r="G5" s="42"/>
      <c r="H5" s="42"/>
    </row>
    <row r="6" spans="1:8" ht="19.5" customHeight="1" x14ac:dyDescent="0.2">
      <c r="C6" s="78" t="s">
        <v>66</v>
      </c>
      <c r="D6" s="94"/>
      <c r="E6" s="95"/>
      <c r="F6" s="95"/>
      <c r="G6" s="96"/>
      <c r="H6" s="42"/>
    </row>
    <row r="7" spans="1:8" ht="19.5" customHeight="1" x14ac:dyDescent="0.2">
      <c r="C7" s="78" t="s">
        <v>1</v>
      </c>
      <c r="D7" s="94"/>
      <c r="E7" s="95"/>
      <c r="F7" s="95"/>
      <c r="G7" s="96"/>
      <c r="H7" s="42"/>
    </row>
    <row r="8" spans="1:8" ht="19.5" customHeight="1" x14ac:dyDescent="0.2">
      <c r="C8" s="78" t="s">
        <v>2</v>
      </c>
      <c r="D8" s="97"/>
      <c r="E8" s="98"/>
      <c r="F8" s="71" t="s">
        <v>23</v>
      </c>
      <c r="G8" s="75">
        <v>2019</v>
      </c>
      <c r="H8" s="42"/>
    </row>
    <row r="10" spans="1:8" ht="6" customHeight="1" x14ac:dyDescent="0.2">
      <c r="B10" s="43"/>
      <c r="C10" s="44"/>
      <c r="D10" s="44"/>
      <c r="E10" s="44"/>
      <c r="F10" s="44"/>
      <c r="G10" s="44"/>
      <c r="H10" s="45"/>
    </row>
    <row r="11" spans="1:8" x14ac:dyDescent="0.2">
      <c r="B11" s="46"/>
      <c r="C11" s="80" t="s">
        <v>64</v>
      </c>
      <c r="D11" s="86" t="s">
        <v>60</v>
      </c>
      <c r="E11" s="86"/>
      <c r="F11" s="86"/>
      <c r="G11" s="86"/>
      <c r="H11" s="47"/>
    </row>
    <row r="12" spans="1:8" ht="5.25" customHeight="1" x14ac:dyDescent="0.2">
      <c r="B12" s="46"/>
      <c r="C12" s="48"/>
      <c r="D12" s="49"/>
      <c r="E12" s="49"/>
      <c r="F12" s="49"/>
      <c r="G12" s="49"/>
      <c r="H12" s="50"/>
    </row>
    <row r="13" spans="1:8" ht="15" customHeight="1" x14ac:dyDescent="0.2">
      <c r="B13" s="46"/>
      <c r="C13" s="48" t="s">
        <v>62</v>
      </c>
      <c r="D13" s="48"/>
      <c r="E13" s="48"/>
      <c r="F13" s="87" t="str">
        <f>'Calculs stes'!G29</f>
        <v/>
      </c>
      <c r="G13" s="87"/>
      <c r="H13" s="51"/>
    </row>
    <row r="14" spans="1:8" ht="15.75" customHeight="1" x14ac:dyDescent="0.2">
      <c r="B14" s="46"/>
      <c r="C14" s="48" t="s">
        <v>61</v>
      </c>
      <c r="D14" s="48"/>
      <c r="E14" s="48"/>
      <c r="F14" s="87"/>
      <c r="G14" s="87"/>
      <c r="H14" s="51"/>
    </row>
    <row r="15" spans="1:8" ht="6.75" customHeight="1" x14ac:dyDescent="0.2">
      <c r="B15" s="46"/>
      <c r="C15" s="48"/>
      <c r="D15" s="48"/>
      <c r="E15" s="48"/>
      <c r="F15" s="48"/>
      <c r="G15" s="48"/>
      <c r="H15" s="52"/>
    </row>
    <row r="16" spans="1:8" ht="18" customHeight="1" x14ac:dyDescent="0.2">
      <c r="B16" s="46"/>
      <c r="C16" s="38" t="str">
        <f>"Km 'Clientèle SCP' en "&amp;G8&amp;" :"</f>
        <v>Km 'Clientèle SCP' en 2019 :</v>
      </c>
      <c r="D16" s="48"/>
      <c r="E16" s="79"/>
      <c r="F16" s="90" t="str">
        <f>IF(E16+E17=0,"","Kilométrage Global :")</f>
        <v/>
      </c>
      <c r="G16" s="91">
        <f>E16+E17</f>
        <v>0</v>
      </c>
      <c r="H16" s="52"/>
    </row>
    <row r="17" spans="2:12" ht="18" customHeight="1" x14ac:dyDescent="0.2">
      <c r="B17" s="46"/>
      <c r="C17" s="38" t="str">
        <f>"Km 'Domicile - Cabinet' en "&amp;G8&amp;" :"</f>
        <v>Km 'Domicile - Cabinet' en 2019 :</v>
      </c>
      <c r="D17" s="48"/>
      <c r="E17" s="79"/>
      <c r="F17" s="90"/>
      <c r="G17" s="92"/>
      <c r="H17" s="52"/>
    </row>
    <row r="18" spans="2:12" ht="7.5" customHeight="1" x14ac:dyDescent="0.2">
      <c r="B18" s="46"/>
      <c r="C18" s="48"/>
      <c r="D18" s="48"/>
      <c r="E18" s="48"/>
      <c r="F18" s="48"/>
      <c r="G18" s="48"/>
      <c r="H18" s="52"/>
    </row>
    <row r="19" spans="2:12" ht="17.25" customHeight="1" x14ac:dyDescent="0.25">
      <c r="B19" s="46"/>
      <c r="C19" s="88" t="str">
        <f>"INDEMNITE KILOMETRIQUE GLOBALE POUR "&amp;G8&amp;" :"</f>
        <v>INDEMNITE KILOMETRIQUE GLOBALE POUR 2019 :</v>
      </c>
      <c r="D19" s="88"/>
      <c r="E19" s="88"/>
      <c r="F19" s="89">
        <f>'Calculs stes'!B$29</f>
        <v>0</v>
      </c>
      <c r="G19" s="89"/>
      <c r="H19" s="52"/>
    </row>
    <row r="20" spans="2:12" ht="15" customHeight="1" x14ac:dyDescent="0.2">
      <c r="B20" s="46"/>
      <c r="C20" s="39" t="str">
        <f>IF(F19=0,"","FORMULE :")</f>
        <v/>
      </c>
      <c r="D20" s="40" t="str">
        <f>IF(F19=0,"",IF(F19="N/C","","( " &amp; FIXED(G16,0) &amp; " x " &amp; 'Calculs stes'!D29 &amp; " = " &amp; FIXED(F19,0)&amp;" €"))</f>
        <v/>
      </c>
      <c r="E20" s="40"/>
      <c r="F20" s="40"/>
      <c r="G20" s="48"/>
      <c r="H20" s="52"/>
      <c r="L20" s="54"/>
    </row>
    <row r="21" spans="2:12" x14ac:dyDescent="0.2">
      <c r="B21" s="46"/>
      <c r="C21" s="48"/>
      <c r="D21" s="48"/>
      <c r="E21" s="48"/>
      <c r="F21" s="48"/>
      <c r="G21" s="48"/>
      <c r="H21" s="52"/>
    </row>
    <row r="22" spans="2:12" ht="15.75" x14ac:dyDescent="0.25">
      <c r="B22" s="46"/>
      <c r="C22" s="55" t="str">
        <f>IF(F22=0,"",IF(F19=0,"",IF(F19&lt;&gt;"N/C","IK à imputer sur les résultats de la Société :","")))</f>
        <v/>
      </c>
      <c r="D22" s="48"/>
      <c r="E22" s="48"/>
      <c r="F22" s="53">
        <f>IF(F19&lt;&gt;0,IF(F19&lt;&gt;"N/C",(F19/G16)*E16,0),0)</f>
        <v>0</v>
      </c>
      <c r="G22" s="48"/>
      <c r="H22" s="52"/>
    </row>
    <row r="23" spans="2:12" s="56" customFormat="1" ht="12" x14ac:dyDescent="0.2">
      <c r="B23" s="57"/>
      <c r="C23" s="58" t="str">
        <f>IF(F22=0,"",IF(F19=0,"",IF(F19="N/C","","Soit : "&amp;FIXED(F19,0)&amp;" € / "&amp;FIXED(G16,0)&amp;" km totaux x "&amp;FIXED(E16,0)&amp;" km 'société' = "&amp;FIXED(F22,0)&amp;" €")))</f>
        <v/>
      </c>
      <c r="D23" s="59"/>
      <c r="E23" s="59"/>
      <c r="F23" s="59"/>
      <c r="G23" s="59"/>
      <c r="H23" s="60"/>
    </row>
    <row r="24" spans="2:12" ht="4.5" customHeight="1" x14ac:dyDescent="0.25">
      <c r="B24" s="46"/>
      <c r="C24" s="55"/>
      <c r="D24" s="48"/>
      <c r="E24" s="48"/>
      <c r="F24" s="48"/>
      <c r="G24" s="48"/>
      <c r="H24" s="52"/>
    </row>
    <row r="25" spans="2:12" ht="15.75" x14ac:dyDescent="0.25">
      <c r="B25" s="46"/>
      <c r="C25" s="55" t="str">
        <f>IF(G25=0,"",IF(AND(F19&lt;&gt;0,F19&lt;&gt;"N/C"),"IK à imputer sur la quote-part de résultat de l'Associé(e) :",""))</f>
        <v/>
      </c>
      <c r="D25" s="48"/>
      <c r="E25" s="48"/>
      <c r="F25" s="48"/>
      <c r="G25" s="53">
        <f>IF(F19&lt;&gt;0,IF(F19&lt;&gt;"N/C",(F19/G16)*E17,0),0)</f>
        <v>0</v>
      </c>
      <c r="H25" s="52"/>
    </row>
    <row r="26" spans="2:12" s="56" customFormat="1" ht="12" x14ac:dyDescent="0.2">
      <c r="B26" s="57"/>
      <c r="C26" s="58" t="str">
        <f>IF(G25=0,"",IF(F19=0,"",IF(F19="N/C","","Soit : "&amp;FIXED(F19,0)&amp;" € / "&amp;FIXED(G16,0)&amp;" km totaux x "&amp;FIXED(E17,0)&amp;" km 'associé(e)' = "&amp;FIXED(G25,0)&amp;" €")))</f>
        <v/>
      </c>
      <c r="D26" s="59"/>
      <c r="E26" s="59"/>
      <c r="F26" s="59"/>
      <c r="G26" s="59"/>
      <c r="H26" s="60"/>
    </row>
    <row r="27" spans="2:12" ht="4.5" customHeight="1" x14ac:dyDescent="0.2">
      <c r="B27" s="61"/>
      <c r="C27" s="62"/>
      <c r="D27" s="62"/>
      <c r="E27" s="62"/>
      <c r="F27" s="62"/>
      <c r="G27" s="62"/>
      <c r="H27" s="63"/>
    </row>
    <row r="29" spans="2:12" ht="6" customHeight="1" x14ac:dyDescent="0.2">
      <c r="B29" s="43"/>
      <c r="C29" s="44"/>
      <c r="D29" s="44"/>
      <c r="E29" s="44"/>
      <c r="F29" s="44"/>
      <c r="G29" s="44"/>
      <c r="H29" s="45"/>
    </row>
    <row r="30" spans="2:12" x14ac:dyDescent="0.2">
      <c r="B30" s="46"/>
      <c r="C30" s="80" t="s">
        <v>67</v>
      </c>
      <c r="D30" s="86" t="s">
        <v>60</v>
      </c>
      <c r="E30" s="86"/>
      <c r="F30" s="86"/>
      <c r="G30" s="86"/>
      <c r="H30" s="47"/>
    </row>
    <row r="31" spans="2:12" ht="5.25" customHeight="1" x14ac:dyDescent="0.2">
      <c r="B31" s="46"/>
      <c r="C31" s="48"/>
      <c r="D31" s="49"/>
      <c r="E31" s="49"/>
      <c r="F31" s="49"/>
      <c r="G31" s="49"/>
      <c r="H31" s="50"/>
    </row>
    <row r="32" spans="2:12" ht="15" customHeight="1" x14ac:dyDescent="0.2">
      <c r="B32" s="46"/>
      <c r="C32" s="48" t="s">
        <v>62</v>
      </c>
      <c r="D32" s="48"/>
      <c r="E32" s="48"/>
      <c r="F32" s="87" t="str">
        <f>'Calculs stes'!G59</f>
        <v/>
      </c>
      <c r="G32" s="87"/>
      <c r="H32" s="51"/>
    </row>
    <row r="33" spans="2:12" ht="15.75" customHeight="1" x14ac:dyDescent="0.2">
      <c r="B33" s="46"/>
      <c r="C33" s="48" t="s">
        <v>61</v>
      </c>
      <c r="D33" s="48"/>
      <c r="E33" s="48"/>
      <c r="F33" s="87"/>
      <c r="G33" s="87"/>
      <c r="H33" s="51"/>
    </row>
    <row r="34" spans="2:12" ht="6.75" customHeight="1" x14ac:dyDescent="0.2">
      <c r="B34" s="46"/>
      <c r="C34" s="48"/>
      <c r="D34" s="48"/>
      <c r="E34" s="48"/>
      <c r="F34" s="48"/>
      <c r="G34" s="48"/>
      <c r="H34" s="52"/>
    </row>
    <row r="35" spans="2:12" ht="18" customHeight="1" x14ac:dyDescent="0.2">
      <c r="B35" s="46"/>
      <c r="C35" s="38" t="str">
        <f>"Km 'Clientèle SCP' en "&amp;G8&amp;" :"</f>
        <v>Km 'Clientèle SCP' en 2019 :</v>
      </c>
      <c r="D35" s="48"/>
      <c r="E35" s="79"/>
      <c r="F35" s="90" t="str">
        <f>IF(E35+E36=0,"","Kilométrage Global :")</f>
        <v/>
      </c>
      <c r="G35" s="91">
        <f>E35+E36</f>
        <v>0</v>
      </c>
      <c r="H35" s="52"/>
    </row>
    <row r="36" spans="2:12" ht="18" customHeight="1" x14ac:dyDescent="0.2">
      <c r="B36" s="46"/>
      <c r="C36" s="38" t="str">
        <f>"Km 'Domicile - Cabinet' en "&amp;G8&amp;" :"</f>
        <v>Km 'Domicile - Cabinet' en 2019 :</v>
      </c>
      <c r="D36" s="48"/>
      <c r="E36" s="79"/>
      <c r="F36" s="90"/>
      <c r="G36" s="92"/>
      <c r="H36" s="52"/>
    </row>
    <row r="37" spans="2:12" ht="7.5" customHeight="1" x14ac:dyDescent="0.2">
      <c r="B37" s="46"/>
      <c r="C37" s="48"/>
      <c r="D37" s="48"/>
      <c r="E37" s="48"/>
      <c r="F37" s="48"/>
      <c r="G37" s="48"/>
      <c r="H37" s="52"/>
    </row>
    <row r="38" spans="2:12" ht="17.25" customHeight="1" x14ac:dyDescent="0.25">
      <c r="B38" s="46"/>
      <c r="C38" s="88" t="str">
        <f>"INDEMNITE KILOMETRIQUE GLOBALE POUR "&amp;G8&amp;" :"</f>
        <v>INDEMNITE KILOMETRIQUE GLOBALE POUR 2019 :</v>
      </c>
      <c r="D38" s="88"/>
      <c r="E38" s="88"/>
      <c r="F38" s="89">
        <f>'Calculs stes'!B59</f>
        <v>0</v>
      </c>
      <c r="G38" s="89"/>
      <c r="H38" s="52"/>
    </row>
    <row r="39" spans="2:12" ht="15" customHeight="1" x14ac:dyDescent="0.2">
      <c r="B39" s="46"/>
      <c r="C39" s="39" t="str">
        <f>IF(F38=0,"","FORMULE :")</f>
        <v/>
      </c>
      <c r="D39" s="40" t="str">
        <f>IF(F38=0,"",IF(F38="N/C","","( " &amp; FIXED(G35,0) &amp; " x " &amp; 'Calculs stes'!D48 &amp; " = " &amp; FIXED(F38,0)&amp;" €"))</f>
        <v/>
      </c>
      <c r="E39" s="40"/>
      <c r="F39" s="40"/>
      <c r="G39" s="48"/>
      <c r="H39" s="52"/>
      <c r="L39" s="54"/>
    </row>
    <row r="40" spans="2:12" x14ac:dyDescent="0.2">
      <c r="B40" s="46"/>
      <c r="C40" s="48"/>
      <c r="D40" s="48"/>
      <c r="E40" s="48"/>
      <c r="F40" s="48"/>
      <c r="G40" s="48"/>
      <c r="H40" s="52"/>
    </row>
    <row r="41" spans="2:12" ht="15.75" x14ac:dyDescent="0.25">
      <c r="B41" s="46"/>
      <c r="C41" s="55" t="str">
        <f>IF(F41=0,"",IF(F38=0,"",IF(F38&lt;&gt;"N/C","IK à imputer sur les résultats de la Société :","")))</f>
        <v/>
      </c>
      <c r="D41" s="48"/>
      <c r="E41" s="48"/>
      <c r="F41" s="53">
        <f>IF(F38&lt;&gt;0,IF(F38&lt;&gt;"N/C",(F38/G35)*E35,0),0)</f>
        <v>0</v>
      </c>
      <c r="G41" s="48"/>
      <c r="H41" s="52"/>
    </row>
    <row r="42" spans="2:12" s="56" customFormat="1" ht="12" x14ac:dyDescent="0.2">
      <c r="B42" s="57"/>
      <c r="C42" s="58" t="str">
        <f>IF(F41=0,"",IF(F38=0,"",IF(F38="N/C","","Soit : "&amp;FIXED(F38,0)&amp;" € / "&amp;FIXED(G35,0)&amp;" km totaux x "&amp;FIXED(E35,0)&amp;" km 'société' = "&amp;FIXED(F41,0)&amp;" €")))</f>
        <v/>
      </c>
      <c r="D42" s="59"/>
      <c r="E42" s="59"/>
      <c r="F42" s="59"/>
      <c r="G42" s="59"/>
      <c r="H42" s="60"/>
    </row>
    <row r="43" spans="2:12" ht="4.5" customHeight="1" x14ac:dyDescent="0.25">
      <c r="B43" s="46"/>
      <c r="C43" s="55"/>
      <c r="D43" s="48"/>
      <c r="E43" s="48"/>
      <c r="F43" s="48"/>
      <c r="G43" s="48"/>
      <c r="H43" s="52"/>
    </row>
    <row r="44" spans="2:12" ht="15.75" x14ac:dyDescent="0.25">
      <c r="B44" s="46"/>
      <c r="C44" s="55" t="str">
        <f>IF(G44=0,"",IF(AND(F38&lt;&gt;0,F38&lt;&gt;"N/C"),"IK à imputer sur la quote-part de résultat de l'Associé(e) :",""))</f>
        <v/>
      </c>
      <c r="D44" s="48"/>
      <c r="E44" s="48"/>
      <c r="F44" s="48"/>
      <c r="G44" s="53">
        <f>IF(F38&lt;&gt;0,IF(F38&lt;&gt;"N/C",(F38/G35)*E36,0),0)</f>
        <v>0</v>
      </c>
      <c r="H44" s="52"/>
    </row>
    <row r="45" spans="2:12" s="56" customFormat="1" ht="12" x14ac:dyDescent="0.2">
      <c r="B45" s="57"/>
      <c r="C45" s="58" t="str">
        <f>IF(G44=0,"",IF(F38=0,"",IF(F38="N/C","","Soit : "&amp;FIXED(F38,0)&amp;" € / "&amp;FIXED(G35,0)&amp;" km totaux x "&amp;FIXED(E36,0)&amp;" km 'associé(e)' = "&amp;FIXED(G44,0)&amp;" €")))</f>
        <v/>
      </c>
      <c r="D45" s="59"/>
      <c r="E45" s="59"/>
      <c r="F45" s="59"/>
      <c r="G45" s="59"/>
      <c r="H45" s="60"/>
    </row>
    <row r="46" spans="2:12" ht="4.5" customHeight="1" x14ac:dyDescent="0.2">
      <c r="B46" s="61"/>
      <c r="C46" s="62"/>
      <c r="D46" s="62"/>
      <c r="E46" s="62"/>
      <c r="F46" s="62"/>
      <c r="G46" s="62"/>
      <c r="H46" s="63"/>
    </row>
    <row r="48" spans="2:12" ht="6" customHeight="1" x14ac:dyDescent="0.2">
      <c r="B48" s="43"/>
      <c r="C48" s="44"/>
      <c r="D48" s="44"/>
      <c r="E48" s="44"/>
      <c r="F48" s="44"/>
      <c r="G48" s="44"/>
      <c r="H48" s="45"/>
    </row>
    <row r="49" spans="2:12" x14ac:dyDescent="0.2">
      <c r="B49" s="46"/>
      <c r="C49" s="80" t="s">
        <v>68</v>
      </c>
      <c r="D49" s="86" t="s">
        <v>60</v>
      </c>
      <c r="E49" s="86"/>
      <c r="F49" s="86"/>
      <c r="G49" s="86"/>
      <c r="H49" s="47"/>
    </row>
    <row r="50" spans="2:12" ht="5.25" customHeight="1" x14ac:dyDescent="0.2">
      <c r="B50" s="46"/>
      <c r="C50" s="48"/>
      <c r="D50" s="49"/>
      <c r="E50" s="49"/>
      <c r="F50" s="49"/>
      <c r="G50" s="49"/>
      <c r="H50" s="50"/>
    </row>
    <row r="51" spans="2:12" ht="15" customHeight="1" x14ac:dyDescent="0.2">
      <c r="B51" s="46"/>
      <c r="C51" s="48" t="s">
        <v>62</v>
      </c>
      <c r="D51" s="48"/>
      <c r="E51" s="48"/>
      <c r="F51" s="87" t="str">
        <f>'Calculs stes'!G89</f>
        <v/>
      </c>
      <c r="G51" s="87"/>
      <c r="H51" s="51"/>
    </row>
    <row r="52" spans="2:12" ht="15.75" customHeight="1" x14ac:dyDescent="0.2">
      <c r="B52" s="46"/>
      <c r="C52" s="48" t="s">
        <v>61</v>
      </c>
      <c r="D52" s="48"/>
      <c r="E52" s="48"/>
      <c r="F52" s="87"/>
      <c r="G52" s="87"/>
      <c r="H52" s="51"/>
    </row>
    <row r="53" spans="2:12" ht="6.75" customHeight="1" x14ac:dyDescent="0.2">
      <c r="B53" s="46"/>
      <c r="C53" s="48"/>
      <c r="D53" s="48"/>
      <c r="E53" s="48"/>
      <c r="F53" s="48"/>
      <c r="G53" s="48"/>
      <c r="H53" s="52"/>
    </row>
    <row r="54" spans="2:12" ht="18" customHeight="1" x14ac:dyDescent="0.2">
      <c r="B54" s="46"/>
      <c r="C54" s="38" t="str">
        <f>"Km 'Clientèle SCP' en "&amp;G8&amp;" :"</f>
        <v>Km 'Clientèle SCP' en 2019 :</v>
      </c>
      <c r="D54" s="48"/>
      <c r="E54" s="79"/>
      <c r="F54" s="90" t="str">
        <f>IF(E54+E55=0,"","Kilométrage Global :")</f>
        <v/>
      </c>
      <c r="G54" s="91">
        <f>E54+E55</f>
        <v>0</v>
      </c>
      <c r="H54" s="52"/>
    </row>
    <row r="55" spans="2:12" ht="18" customHeight="1" x14ac:dyDescent="0.2">
      <c r="B55" s="46"/>
      <c r="C55" s="38" t="str">
        <f>"Km 'Domicile - Cabinet' en "&amp;G8&amp;" :"</f>
        <v>Km 'Domicile - Cabinet' en 2019 :</v>
      </c>
      <c r="D55" s="48"/>
      <c r="E55" s="79"/>
      <c r="F55" s="90"/>
      <c r="G55" s="92"/>
      <c r="H55" s="52"/>
    </row>
    <row r="56" spans="2:12" ht="7.5" customHeight="1" x14ac:dyDescent="0.2">
      <c r="B56" s="46"/>
      <c r="C56" s="48"/>
      <c r="D56" s="48"/>
      <c r="E56" s="48"/>
      <c r="F56" s="48"/>
      <c r="G56" s="48"/>
      <c r="H56" s="52"/>
    </row>
    <row r="57" spans="2:12" ht="17.25" customHeight="1" x14ac:dyDescent="0.25">
      <c r="B57" s="46"/>
      <c r="C57" s="88" t="str">
        <f>"INDEMNITE KILOMETRIQUE GLOBALE POUR "&amp;G8&amp;" :"</f>
        <v>INDEMNITE KILOMETRIQUE GLOBALE POUR 2019 :</v>
      </c>
      <c r="D57" s="88"/>
      <c r="E57" s="88"/>
      <c r="F57" s="89">
        <f>'Calculs stes'!B89</f>
        <v>0</v>
      </c>
      <c r="G57" s="89"/>
      <c r="H57" s="52"/>
    </row>
    <row r="58" spans="2:12" ht="15" customHeight="1" x14ac:dyDescent="0.2">
      <c r="B58" s="46"/>
      <c r="C58" s="39" t="str">
        <f>IF(F57=0,"","FORMULE :")</f>
        <v/>
      </c>
      <c r="D58" s="40" t="str">
        <f>IF(F57=0,"",IF(F57="N/C","","( " &amp; FIXED(G54,0) &amp; " x " &amp; 'Calculs stes'!D89 &amp; " = " &amp; FIXED(F57,0)&amp;" €"))</f>
        <v/>
      </c>
      <c r="E58" s="40"/>
      <c r="F58" s="40"/>
      <c r="G58" s="48"/>
      <c r="H58" s="52"/>
      <c r="L58" s="54"/>
    </row>
    <row r="59" spans="2:12" x14ac:dyDescent="0.2">
      <c r="B59" s="46"/>
      <c r="C59" s="48"/>
      <c r="D59" s="48"/>
      <c r="E59" s="48"/>
      <c r="F59" s="48"/>
      <c r="G59" s="48"/>
      <c r="H59" s="52"/>
    </row>
    <row r="60" spans="2:12" ht="15.75" x14ac:dyDescent="0.25">
      <c r="B60" s="46"/>
      <c r="C60" s="55" t="str">
        <f>IF(F60=0,"",IF(F57=0,"",IF(F57&lt;&gt;"N/C","IK à imputer sur les résultats de la Société :","")))</f>
        <v/>
      </c>
      <c r="D60" s="48"/>
      <c r="E60" s="48"/>
      <c r="F60" s="53">
        <f>IF(F57&lt;&gt;0,IF(F57&lt;&gt;"N/C",(F57/G54)*E54,0),0)</f>
        <v>0</v>
      </c>
      <c r="G60" s="48"/>
      <c r="H60" s="52"/>
    </row>
    <row r="61" spans="2:12" s="56" customFormat="1" ht="12" x14ac:dyDescent="0.2">
      <c r="B61" s="57"/>
      <c r="C61" s="58" t="str">
        <f>IF(F60=0,"",IF(F57=0,"",IF(F57="N/C","","Soit : "&amp;FIXED(F57,0)&amp;" € / "&amp;FIXED(G54,0)&amp;" km totaux x "&amp;FIXED(E54,0)&amp;" km 'société' = "&amp;FIXED(F60,0)&amp;" €")))</f>
        <v/>
      </c>
      <c r="D61" s="59"/>
      <c r="E61" s="59"/>
      <c r="F61" s="59"/>
      <c r="G61" s="59"/>
      <c r="H61" s="60"/>
    </row>
    <row r="62" spans="2:12" ht="4.5" customHeight="1" x14ac:dyDescent="0.25">
      <c r="B62" s="46"/>
      <c r="C62" s="55"/>
      <c r="D62" s="48"/>
      <c r="E62" s="48"/>
      <c r="F62" s="48"/>
      <c r="G62" s="48"/>
      <c r="H62" s="52"/>
    </row>
    <row r="63" spans="2:12" ht="15.75" x14ac:dyDescent="0.25">
      <c r="B63" s="46"/>
      <c r="C63" s="55" t="str">
        <f>IF(G63=0,"",IF(AND(F57&lt;&gt;0,F57&lt;&gt;"N/C"),"IK à imputer sur la quote-part de résultat de l'Associé(e) :",""))</f>
        <v/>
      </c>
      <c r="D63" s="48"/>
      <c r="E63" s="48"/>
      <c r="F63" s="48"/>
      <c r="G63" s="53">
        <f>IF(F57&lt;&gt;0,IF(F57&lt;&gt;"N/C",(F57/G54)*E55,0),0)</f>
        <v>0</v>
      </c>
      <c r="H63" s="52"/>
    </row>
    <row r="64" spans="2:12" s="56" customFormat="1" ht="12" x14ac:dyDescent="0.2">
      <c r="B64" s="57"/>
      <c r="C64" s="58" t="str">
        <f>IF(G63=0,"",IF(F57=0,"",IF(F57="N/C","","Soit : "&amp;FIXED(F57,0)&amp;" € / "&amp;FIXED(G54,0)&amp;" km totaux x "&amp;FIXED(E55,0)&amp;" km 'associé(e)' = "&amp;FIXED(G63,0)&amp;" €")))</f>
        <v/>
      </c>
      <c r="D64" s="59"/>
      <c r="E64" s="59"/>
      <c r="F64" s="59"/>
      <c r="G64" s="59"/>
      <c r="H64" s="60"/>
    </row>
    <row r="65" spans="2:12" ht="4.5" customHeight="1" x14ac:dyDescent="0.2">
      <c r="B65" s="61"/>
      <c r="C65" s="62"/>
      <c r="D65" s="62"/>
      <c r="E65" s="62"/>
      <c r="F65" s="62"/>
      <c r="G65" s="62"/>
      <c r="H65" s="63"/>
    </row>
    <row r="67" spans="2:12" ht="6" customHeight="1" x14ac:dyDescent="0.2">
      <c r="B67" s="43"/>
      <c r="C67" s="44"/>
      <c r="D67" s="44"/>
      <c r="E67" s="44"/>
      <c r="F67" s="44"/>
      <c r="G67" s="44"/>
      <c r="H67" s="45"/>
    </row>
    <row r="68" spans="2:12" x14ac:dyDescent="0.2">
      <c r="B68" s="46"/>
      <c r="C68" s="80" t="s">
        <v>69</v>
      </c>
      <c r="D68" s="86" t="s">
        <v>60</v>
      </c>
      <c r="E68" s="86"/>
      <c r="F68" s="86"/>
      <c r="G68" s="86"/>
      <c r="H68" s="47"/>
    </row>
    <row r="69" spans="2:12" ht="5.25" customHeight="1" x14ac:dyDescent="0.2">
      <c r="B69" s="46"/>
      <c r="C69" s="48"/>
      <c r="D69" s="49"/>
      <c r="E69" s="49"/>
      <c r="F69" s="49"/>
      <c r="G69" s="49"/>
      <c r="H69" s="50"/>
    </row>
    <row r="70" spans="2:12" ht="15" customHeight="1" x14ac:dyDescent="0.2">
      <c r="B70" s="46"/>
      <c r="C70" s="48" t="s">
        <v>62</v>
      </c>
      <c r="D70" s="48"/>
      <c r="E70" s="48"/>
      <c r="F70" s="87" t="str">
        <f>'Calculs stes'!G119</f>
        <v/>
      </c>
      <c r="G70" s="87"/>
      <c r="H70" s="51"/>
    </row>
    <row r="71" spans="2:12" ht="15.75" customHeight="1" x14ac:dyDescent="0.2">
      <c r="B71" s="46"/>
      <c r="C71" s="48" t="s">
        <v>61</v>
      </c>
      <c r="D71" s="48"/>
      <c r="E71" s="48"/>
      <c r="F71" s="87"/>
      <c r="G71" s="87"/>
      <c r="H71" s="51"/>
    </row>
    <row r="72" spans="2:12" ht="6.75" customHeight="1" x14ac:dyDescent="0.2">
      <c r="B72" s="46"/>
      <c r="C72" s="48"/>
      <c r="D72" s="48"/>
      <c r="E72" s="48"/>
      <c r="F72" s="48"/>
      <c r="G72" s="48"/>
      <c r="H72" s="52"/>
    </row>
    <row r="73" spans="2:12" ht="18" customHeight="1" x14ac:dyDescent="0.2">
      <c r="B73" s="46"/>
      <c r="C73" s="38" t="str">
        <f>"Km 'Clientèle SCP' en "&amp;G8&amp;" :"</f>
        <v>Km 'Clientèle SCP' en 2019 :</v>
      </c>
      <c r="D73" s="48"/>
      <c r="E73" s="79"/>
      <c r="F73" s="90" t="str">
        <f>IF(E73+E74=0,"","Kilométrage Global :")</f>
        <v/>
      </c>
      <c r="G73" s="91">
        <f>E73+E74</f>
        <v>0</v>
      </c>
      <c r="H73" s="52"/>
    </row>
    <row r="74" spans="2:12" ht="18" customHeight="1" x14ac:dyDescent="0.2">
      <c r="B74" s="46"/>
      <c r="C74" s="38" t="str">
        <f>"Km 'Domicile - Cabinet' en "&amp;G8&amp;" :"</f>
        <v>Km 'Domicile - Cabinet' en 2019 :</v>
      </c>
      <c r="D74" s="48"/>
      <c r="E74" s="79"/>
      <c r="F74" s="90"/>
      <c r="G74" s="92"/>
      <c r="H74" s="52"/>
    </row>
    <row r="75" spans="2:12" ht="7.5" customHeight="1" x14ac:dyDescent="0.2">
      <c r="B75" s="46"/>
      <c r="C75" s="48"/>
      <c r="D75" s="48"/>
      <c r="E75" s="48"/>
      <c r="F75" s="48"/>
      <c r="G75" s="48"/>
      <c r="H75" s="52"/>
    </row>
    <row r="76" spans="2:12" ht="17.25" customHeight="1" x14ac:dyDescent="0.25">
      <c r="B76" s="46"/>
      <c r="C76" s="88" t="str">
        <f>"INDEMNITE KILOMETRIQUE GLOBALE POUR "&amp;G8&amp;" :"</f>
        <v>INDEMNITE KILOMETRIQUE GLOBALE POUR 2019 :</v>
      </c>
      <c r="D76" s="88"/>
      <c r="E76" s="88"/>
      <c r="F76" s="89">
        <f>'Calculs stes'!B119</f>
        <v>0</v>
      </c>
      <c r="G76" s="89"/>
      <c r="H76" s="52"/>
    </row>
    <row r="77" spans="2:12" ht="15" customHeight="1" x14ac:dyDescent="0.2">
      <c r="B77" s="46"/>
      <c r="C77" s="39" t="str">
        <f>IF(F76=0,"","FORMULE :")</f>
        <v/>
      </c>
      <c r="D77" s="40" t="str">
        <f>IF(F76=0,"",IF(F76="N/C","","( " &amp; FIXED(G73,0) &amp; " x " &amp; 'Calculs stes'!D119 &amp; " = " &amp; FIXED(F76,0)&amp;" €"))</f>
        <v/>
      </c>
      <c r="E77" s="40"/>
      <c r="F77" s="40"/>
      <c r="G77" s="48"/>
      <c r="H77" s="52"/>
      <c r="L77" s="54"/>
    </row>
    <row r="78" spans="2:12" x14ac:dyDescent="0.2">
      <c r="B78" s="46"/>
      <c r="C78" s="48"/>
      <c r="D78" s="48"/>
      <c r="E78" s="48"/>
      <c r="F78" s="48"/>
      <c r="G78" s="48"/>
      <c r="H78" s="52"/>
    </row>
    <row r="79" spans="2:12" ht="15.75" x14ac:dyDescent="0.25">
      <c r="B79" s="46"/>
      <c r="C79" s="55" t="str">
        <f>IF(F79=0,"",IF(F76=0,"",IF(F76&lt;&gt;"N/C","IK à imputer sur les résultats de la Société :","")))</f>
        <v/>
      </c>
      <c r="D79" s="48"/>
      <c r="E79" s="48"/>
      <c r="F79" s="53">
        <f>IF(F76&lt;&gt;0,IF(F76&lt;&gt;"N/C",(F76/G73)*E73,0),0)</f>
        <v>0</v>
      </c>
      <c r="G79" s="48"/>
      <c r="H79" s="52"/>
    </row>
    <row r="80" spans="2:12" s="56" customFormat="1" ht="12" x14ac:dyDescent="0.2">
      <c r="B80" s="57"/>
      <c r="C80" s="58" t="str">
        <f>IF(F79=0,"",IF(F76=0,"",IF(F76="N/C","","Soit : "&amp;FIXED(F76,0)&amp;" € / "&amp;FIXED(G73,0)&amp;" km totaux x "&amp;FIXED(E73,0)&amp;" km 'société' = "&amp;FIXED(F79,0)&amp;" €")))</f>
        <v/>
      </c>
      <c r="D80" s="59"/>
      <c r="E80" s="59"/>
      <c r="F80" s="59"/>
      <c r="G80" s="59"/>
      <c r="H80" s="60"/>
    </row>
    <row r="81" spans="2:12" ht="4.5" customHeight="1" x14ac:dyDescent="0.25">
      <c r="B81" s="46"/>
      <c r="C81" s="55"/>
      <c r="D81" s="48"/>
      <c r="E81" s="48"/>
      <c r="F81" s="48"/>
      <c r="G81" s="48"/>
      <c r="H81" s="52"/>
    </row>
    <row r="82" spans="2:12" ht="15.75" x14ac:dyDescent="0.25">
      <c r="B82" s="46"/>
      <c r="C82" s="55" t="str">
        <f>IF(G82=0,"",IF(AND(F76&lt;&gt;0,F76&lt;&gt;"N/C"),"IK à imputer sur la quote-part de résultat de l'Associé(e) :",""))</f>
        <v/>
      </c>
      <c r="D82" s="48"/>
      <c r="E82" s="48"/>
      <c r="F82" s="48"/>
      <c r="G82" s="53">
        <f>IF(F76&lt;&gt;0,IF(F76&lt;&gt;"N/C",(F76/G73)*E74,0),0)</f>
        <v>0</v>
      </c>
      <c r="H82" s="52"/>
    </row>
    <row r="83" spans="2:12" s="56" customFormat="1" ht="12" x14ac:dyDescent="0.2">
      <c r="B83" s="57"/>
      <c r="C83" s="58" t="str">
        <f>IF(G82=0,"",IF(F76=0,"",IF(F76="N/C","","Soit : "&amp;FIXED(F76,0)&amp;" € / "&amp;FIXED(G73,0)&amp;" km totaux x "&amp;FIXED(E74,0)&amp;" km 'associé(e)' = "&amp;FIXED(G82,0)&amp;" €")))</f>
        <v/>
      </c>
      <c r="D83" s="59"/>
      <c r="E83" s="59"/>
      <c r="F83" s="59"/>
      <c r="G83" s="59"/>
      <c r="H83" s="60"/>
    </row>
    <row r="84" spans="2:12" ht="4.5" customHeight="1" x14ac:dyDescent="0.2">
      <c r="B84" s="61"/>
      <c r="C84" s="62"/>
      <c r="D84" s="62"/>
      <c r="E84" s="62"/>
      <c r="F84" s="62"/>
      <c r="G84" s="62"/>
      <c r="H84" s="63"/>
    </row>
    <row r="86" spans="2:12" ht="6" customHeight="1" x14ac:dyDescent="0.2">
      <c r="B86" s="43"/>
      <c r="C86" s="44"/>
      <c r="D86" s="44"/>
      <c r="E86" s="44"/>
      <c r="F86" s="44"/>
      <c r="G86" s="44"/>
      <c r="H86" s="45"/>
    </row>
    <row r="87" spans="2:12" x14ac:dyDescent="0.2">
      <c r="B87" s="46"/>
      <c r="C87" s="80" t="s">
        <v>70</v>
      </c>
      <c r="D87" s="86" t="s">
        <v>60</v>
      </c>
      <c r="E87" s="86"/>
      <c r="F87" s="86"/>
      <c r="G87" s="86"/>
      <c r="H87" s="47"/>
    </row>
    <row r="88" spans="2:12" ht="5.25" customHeight="1" x14ac:dyDescent="0.2">
      <c r="B88" s="46"/>
      <c r="C88" s="48"/>
      <c r="D88" s="49"/>
      <c r="E88" s="49"/>
      <c r="F88" s="49"/>
      <c r="G88" s="49"/>
      <c r="H88" s="50"/>
    </row>
    <row r="89" spans="2:12" ht="15" customHeight="1" x14ac:dyDescent="0.2">
      <c r="B89" s="46"/>
      <c r="C89" s="48" t="s">
        <v>62</v>
      </c>
      <c r="D89" s="48"/>
      <c r="E89" s="48"/>
      <c r="F89" s="87" t="str">
        <f>'Calculs stes'!G149</f>
        <v/>
      </c>
      <c r="G89" s="87"/>
      <c r="H89" s="51"/>
    </row>
    <row r="90" spans="2:12" ht="15.75" customHeight="1" x14ac:dyDescent="0.2">
      <c r="B90" s="46"/>
      <c r="C90" s="48" t="s">
        <v>61</v>
      </c>
      <c r="D90" s="48"/>
      <c r="E90" s="48"/>
      <c r="F90" s="87"/>
      <c r="G90" s="87"/>
      <c r="H90" s="51"/>
    </row>
    <row r="91" spans="2:12" ht="6.75" customHeight="1" x14ac:dyDescent="0.2">
      <c r="B91" s="46"/>
      <c r="C91" s="48"/>
      <c r="D91" s="48"/>
      <c r="E91" s="48"/>
      <c r="F91" s="48"/>
      <c r="G91" s="48"/>
      <c r="H91" s="52"/>
    </row>
    <row r="92" spans="2:12" ht="18" customHeight="1" x14ac:dyDescent="0.2">
      <c r="B92" s="46"/>
      <c r="C92" s="38" t="str">
        <f>"Km 'Clientèle SCP' en "&amp;G8&amp;" :"</f>
        <v>Km 'Clientèle SCP' en 2019 :</v>
      </c>
      <c r="D92" s="48"/>
      <c r="E92" s="79"/>
      <c r="F92" s="90" t="str">
        <f>IF(E92+E93=0,"","Kilométrage Global :")</f>
        <v/>
      </c>
      <c r="G92" s="91">
        <f>E92+E93</f>
        <v>0</v>
      </c>
      <c r="H92" s="52"/>
    </row>
    <row r="93" spans="2:12" ht="18" customHeight="1" x14ac:dyDescent="0.2">
      <c r="B93" s="46"/>
      <c r="C93" s="38" t="str">
        <f>"Km 'Domicile - Cabinet' en "&amp;G8&amp;" :"</f>
        <v>Km 'Domicile - Cabinet' en 2019 :</v>
      </c>
      <c r="D93" s="48"/>
      <c r="E93" s="79"/>
      <c r="F93" s="90"/>
      <c r="G93" s="92"/>
      <c r="H93" s="52"/>
    </row>
    <row r="94" spans="2:12" ht="7.5" customHeight="1" x14ac:dyDescent="0.2">
      <c r="B94" s="46"/>
      <c r="C94" s="48"/>
      <c r="D94" s="48"/>
      <c r="E94" s="48"/>
      <c r="F94" s="48"/>
      <c r="G94" s="48"/>
      <c r="H94" s="52"/>
    </row>
    <row r="95" spans="2:12" ht="17.25" customHeight="1" x14ac:dyDescent="0.25">
      <c r="B95" s="46"/>
      <c r="C95" s="88" t="str">
        <f>"INDEMNITE KILOMETRIQUE GLOBALE POUR "&amp;G8&amp;" :"</f>
        <v>INDEMNITE KILOMETRIQUE GLOBALE POUR 2019 :</v>
      </c>
      <c r="D95" s="88"/>
      <c r="E95" s="88"/>
      <c r="F95" s="89">
        <f>'Calculs stes'!B149</f>
        <v>0</v>
      </c>
      <c r="G95" s="89"/>
      <c r="H95" s="52"/>
    </row>
    <row r="96" spans="2:12" ht="15" customHeight="1" x14ac:dyDescent="0.2">
      <c r="B96" s="46"/>
      <c r="C96" s="39" t="str">
        <f>IF(F95=0,"","FORMULE :")</f>
        <v/>
      </c>
      <c r="D96" s="40" t="str">
        <f>IF(F95=0,"",IF(F95="N/C","","( " &amp; FIXED(G92,0) &amp; " x " &amp; 'Calculs stes'!D149 &amp; " = " &amp; FIXED(F95,0)&amp;" €"))</f>
        <v/>
      </c>
      <c r="E96" s="40"/>
      <c r="F96" s="40"/>
      <c r="G96" s="48"/>
      <c r="H96" s="52"/>
      <c r="L96" s="54"/>
    </row>
    <row r="97" spans="2:8" x14ac:dyDescent="0.2">
      <c r="B97" s="46"/>
      <c r="C97" s="48"/>
      <c r="D97" s="48"/>
      <c r="E97" s="48"/>
      <c r="F97" s="48"/>
      <c r="G97" s="48"/>
      <c r="H97" s="52"/>
    </row>
    <row r="98" spans="2:8" ht="15.75" x14ac:dyDescent="0.25">
      <c r="B98" s="46"/>
      <c r="C98" s="55" t="str">
        <f>IF(F98=0,"",IF(F95=0,"",IF(F95&lt;&gt;"N/C","IK à imputer sur les résultats de la Société :","")))</f>
        <v/>
      </c>
      <c r="D98" s="48"/>
      <c r="E98" s="48"/>
      <c r="F98" s="53">
        <f>IF(F95&lt;&gt;0,IF(F95&lt;&gt;"N/C",(F95/G92)*E92,0),0)</f>
        <v>0</v>
      </c>
      <c r="G98" s="48"/>
      <c r="H98" s="52"/>
    </row>
    <row r="99" spans="2:8" s="56" customFormat="1" ht="12" x14ac:dyDescent="0.2">
      <c r="B99" s="57"/>
      <c r="C99" s="58" t="str">
        <f>IF(F98=0,"",IF(F95=0,"",IF(F95="N/C","","Soit : "&amp;FIXED(F95,0)&amp;" € / "&amp;FIXED(G92,0)&amp;" km totaux x "&amp;FIXED(E92,0)&amp;" km 'société' = "&amp;FIXED(F98,0)&amp;" €")))</f>
        <v/>
      </c>
      <c r="D99" s="59"/>
      <c r="E99" s="59"/>
      <c r="F99" s="59"/>
      <c r="G99" s="59"/>
      <c r="H99" s="60"/>
    </row>
    <row r="100" spans="2:8" ht="4.5" customHeight="1" x14ac:dyDescent="0.25">
      <c r="B100" s="46"/>
      <c r="C100" s="55"/>
      <c r="D100" s="48"/>
      <c r="E100" s="48"/>
      <c r="F100" s="48"/>
      <c r="G100" s="48"/>
      <c r="H100" s="52"/>
    </row>
    <row r="101" spans="2:8" ht="15.75" x14ac:dyDescent="0.25">
      <c r="B101" s="46"/>
      <c r="C101" s="55" t="str">
        <f>IF(G101=0,"",IF(AND(F95&lt;&gt;0,F95&lt;&gt;"N/C"),"IK à imputer sur la quote-part de résultat de l'Associé(e) :",""))</f>
        <v/>
      </c>
      <c r="D101" s="48"/>
      <c r="E101" s="48"/>
      <c r="F101" s="48"/>
      <c r="G101" s="53">
        <f>IF(F95&lt;&gt;0,IF(F95&lt;&gt;"N/C",(F95/G92)*E93,0),0)</f>
        <v>0</v>
      </c>
      <c r="H101" s="52"/>
    </row>
    <row r="102" spans="2:8" s="56" customFormat="1" ht="12" x14ac:dyDescent="0.2">
      <c r="B102" s="57"/>
      <c r="C102" s="58" t="str">
        <f>IF(G101=0,"",IF(F95=0,"",IF(F95="N/C","","Soit : "&amp;FIXED(F95,0)&amp;" € / "&amp;FIXED(G92,0)&amp;" km totaux x "&amp;FIXED(E93,0)&amp;" km 'associé(e)' = "&amp;FIXED(G101,0)&amp;" €")))</f>
        <v/>
      </c>
      <c r="D102" s="59"/>
      <c r="E102" s="59"/>
      <c r="F102" s="59"/>
      <c r="G102" s="59"/>
      <c r="H102" s="60"/>
    </row>
    <row r="103" spans="2:8" ht="4.5" customHeight="1" x14ac:dyDescent="0.2">
      <c r="B103" s="61"/>
      <c r="C103" s="62"/>
      <c r="D103" s="62"/>
      <c r="E103" s="62"/>
      <c r="F103" s="62"/>
      <c r="G103" s="62"/>
      <c r="H103" s="63"/>
    </row>
  </sheetData>
  <sheetProtection selectLockedCells="1"/>
  <mergeCells count="35">
    <mergeCell ref="D1:H1"/>
    <mergeCell ref="F16:F17"/>
    <mergeCell ref="G16:G17"/>
    <mergeCell ref="D6:G6"/>
    <mergeCell ref="D7:G7"/>
    <mergeCell ref="D8:E8"/>
    <mergeCell ref="D11:G11"/>
    <mergeCell ref="C4:H4"/>
    <mergeCell ref="C57:E57"/>
    <mergeCell ref="F57:G57"/>
    <mergeCell ref="F35:F36"/>
    <mergeCell ref="G35:G36"/>
    <mergeCell ref="F13:G14"/>
    <mergeCell ref="C19:E19"/>
    <mergeCell ref="F19:G19"/>
    <mergeCell ref="D30:G30"/>
    <mergeCell ref="F32:G33"/>
    <mergeCell ref="C38:E38"/>
    <mergeCell ref="F38:G38"/>
    <mergeCell ref="D49:G49"/>
    <mergeCell ref="F51:G52"/>
    <mergeCell ref="F54:F55"/>
    <mergeCell ref="G54:G55"/>
    <mergeCell ref="C95:E95"/>
    <mergeCell ref="F95:G95"/>
    <mergeCell ref="D87:G87"/>
    <mergeCell ref="F89:G90"/>
    <mergeCell ref="F92:F93"/>
    <mergeCell ref="G92:G93"/>
    <mergeCell ref="D68:G68"/>
    <mergeCell ref="F70:G71"/>
    <mergeCell ref="C76:E76"/>
    <mergeCell ref="F76:G76"/>
    <mergeCell ref="F73:F74"/>
    <mergeCell ref="G73:G74"/>
  </mergeCells>
  <phoneticPr fontId="16" type="noConversion"/>
  <conditionalFormatting sqref="G16:G17 G35:G36 G54:G55 G73:G74 G92:G93">
    <cfRule type="cellIs" dxfId="1" priority="1" stopIfTrue="1" operator="notEqual">
      <formula>0</formula>
    </cfRule>
  </conditionalFormatting>
  <conditionalFormatting sqref="F22 F19:G19 G25 F41 F38:G38 G44 F60 F57:G57 G63 F79 F76:G76 G82 F98 F95:G95 G101">
    <cfRule type="cellIs" dxfId="0" priority="2" stopIfTrue="1" operator="notEqual">
      <formula>0</formula>
    </cfRule>
  </conditionalFormatting>
  <hyperlinks>
    <hyperlink ref="C4:H4" r:id="rId1" display="Lien vers la Documentation (§ 610 du BOI)"/>
  </hyperlinks>
  <printOptions horizontalCentered="1" verticalCentered="1"/>
  <pageMargins left="0.55118110236220474" right="0.35433070866141736" top="0.51181102362204722" bottom="0.98425196850393704" header="0.51181102362204722" footer="0.51181102362204722"/>
  <pageSetup paperSize="9" orientation="portrait" verticalDpi="0" r:id="rId2"/>
  <headerFooter alignWithMargins="0"/>
  <rowBreaks count="1" manualBreakCount="1">
    <brk id="47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5" name="Drop Down 5">
              <controlPr defaultSize="0" autoLine="0" autoPict="0">
                <anchor moveWithCells="1">
                  <from>
                    <xdr:col>3</xdr:col>
                    <xdr:colOff>781050</xdr:colOff>
                    <xdr:row>12</xdr:row>
                    <xdr:rowOff>0</xdr:rowOff>
                  </from>
                  <to>
                    <xdr:col>4</xdr:col>
                    <xdr:colOff>895350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Drop Down 6">
              <controlPr defaultSize="0" autoLine="0" autoPict="0">
                <anchor moveWithCells="1">
                  <from>
                    <xdr:col>3</xdr:col>
                    <xdr:colOff>781050</xdr:colOff>
                    <xdr:row>13</xdr:row>
                    <xdr:rowOff>0</xdr:rowOff>
                  </from>
                  <to>
                    <xdr:col>4</xdr:col>
                    <xdr:colOff>895350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Drop Down 7">
              <controlPr defaultSize="0" autoLine="0" autoPict="0">
                <anchor moveWithCells="1">
                  <from>
                    <xdr:col>3</xdr:col>
                    <xdr:colOff>781050</xdr:colOff>
                    <xdr:row>31</xdr:row>
                    <xdr:rowOff>0</xdr:rowOff>
                  </from>
                  <to>
                    <xdr:col>4</xdr:col>
                    <xdr:colOff>895350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Drop Down 8">
              <controlPr defaultSize="0" autoLine="0" autoPict="0">
                <anchor moveWithCells="1">
                  <from>
                    <xdr:col>3</xdr:col>
                    <xdr:colOff>781050</xdr:colOff>
                    <xdr:row>32</xdr:row>
                    <xdr:rowOff>0</xdr:rowOff>
                  </from>
                  <to>
                    <xdr:col>4</xdr:col>
                    <xdr:colOff>895350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" name="Drop Down 9">
              <controlPr defaultSize="0" autoLine="0" autoPict="0">
                <anchor moveWithCells="1">
                  <from>
                    <xdr:col>3</xdr:col>
                    <xdr:colOff>781050</xdr:colOff>
                    <xdr:row>31</xdr:row>
                    <xdr:rowOff>0</xdr:rowOff>
                  </from>
                  <to>
                    <xdr:col>4</xdr:col>
                    <xdr:colOff>895350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" name="Drop Down 10">
              <controlPr defaultSize="0" autoLine="0" autoPict="0">
                <anchor moveWithCells="1">
                  <from>
                    <xdr:col>3</xdr:col>
                    <xdr:colOff>781050</xdr:colOff>
                    <xdr:row>32</xdr:row>
                    <xdr:rowOff>0</xdr:rowOff>
                  </from>
                  <to>
                    <xdr:col>4</xdr:col>
                    <xdr:colOff>895350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1" name="Drop Down 11">
              <controlPr defaultSize="0" autoLine="0" autoPict="0">
                <anchor moveWithCells="1">
                  <from>
                    <xdr:col>3</xdr:col>
                    <xdr:colOff>781050</xdr:colOff>
                    <xdr:row>50</xdr:row>
                    <xdr:rowOff>0</xdr:rowOff>
                  </from>
                  <to>
                    <xdr:col>4</xdr:col>
                    <xdr:colOff>895350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2" name="Drop Down 12">
              <controlPr defaultSize="0" autoLine="0" autoPict="0">
                <anchor moveWithCells="1">
                  <from>
                    <xdr:col>3</xdr:col>
                    <xdr:colOff>781050</xdr:colOff>
                    <xdr:row>51</xdr:row>
                    <xdr:rowOff>0</xdr:rowOff>
                  </from>
                  <to>
                    <xdr:col>4</xdr:col>
                    <xdr:colOff>895350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3" name="Drop Down 13">
              <controlPr defaultSize="0" autoLine="0" autoPict="0">
                <anchor moveWithCells="1">
                  <from>
                    <xdr:col>3</xdr:col>
                    <xdr:colOff>781050</xdr:colOff>
                    <xdr:row>69</xdr:row>
                    <xdr:rowOff>0</xdr:rowOff>
                  </from>
                  <to>
                    <xdr:col>4</xdr:col>
                    <xdr:colOff>895350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" name="Drop Down 14">
              <controlPr defaultSize="0" autoLine="0" autoPict="0">
                <anchor moveWithCells="1">
                  <from>
                    <xdr:col>3</xdr:col>
                    <xdr:colOff>781050</xdr:colOff>
                    <xdr:row>70</xdr:row>
                    <xdr:rowOff>0</xdr:rowOff>
                  </from>
                  <to>
                    <xdr:col>4</xdr:col>
                    <xdr:colOff>895350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Drop Down 15">
              <controlPr defaultSize="0" autoLine="0" autoPict="0">
                <anchor moveWithCells="1">
                  <from>
                    <xdr:col>3</xdr:col>
                    <xdr:colOff>781050</xdr:colOff>
                    <xdr:row>88</xdr:row>
                    <xdr:rowOff>0</xdr:rowOff>
                  </from>
                  <to>
                    <xdr:col>4</xdr:col>
                    <xdr:colOff>895350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6" name="Drop Down 16">
              <controlPr defaultSize="0" autoLine="0" autoPict="0">
                <anchor moveWithCells="1">
                  <from>
                    <xdr:col>3</xdr:col>
                    <xdr:colOff>781050</xdr:colOff>
                    <xdr:row>89</xdr:row>
                    <xdr:rowOff>0</xdr:rowOff>
                  </from>
                  <to>
                    <xdr:col>4</xdr:col>
                    <xdr:colOff>895350</xdr:colOff>
                    <xdr:row>90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G41"/>
  <sheetViews>
    <sheetView showGridLines="0" showRowColHeaders="0" workbookViewId="0">
      <selection activeCell="B7" sqref="B7:F7"/>
    </sheetView>
  </sheetViews>
  <sheetFormatPr baseColWidth="10" defaultColWidth="0" defaultRowHeight="15" zeroHeight="1" x14ac:dyDescent="0.2"/>
  <cols>
    <col min="1" max="4" width="11.42578125" style="35" customWidth="1"/>
    <col min="5" max="5" width="14.5703125" style="35" customWidth="1"/>
    <col min="6" max="6" width="17.5703125" style="35" customWidth="1"/>
    <col min="7" max="7" width="4.85546875" style="35" customWidth="1"/>
    <col min="8" max="16384" width="0" style="35" hidden="1"/>
  </cols>
  <sheetData>
    <row r="1" spans="1:7" x14ac:dyDescent="0.2">
      <c r="A1" s="64"/>
      <c r="B1" s="64"/>
      <c r="C1" s="64"/>
      <c r="D1" s="64"/>
      <c r="E1" s="64"/>
      <c r="F1" s="64"/>
      <c r="G1" s="64"/>
    </row>
    <row r="2" spans="1:7" x14ac:dyDescent="0.2">
      <c r="A2" s="64"/>
      <c r="B2" s="64"/>
      <c r="C2" s="64"/>
      <c r="D2" s="64"/>
      <c r="E2" s="64"/>
      <c r="F2" s="64"/>
      <c r="G2" s="64"/>
    </row>
    <row r="3" spans="1:7" x14ac:dyDescent="0.2">
      <c r="A3" s="64"/>
      <c r="B3" s="64"/>
      <c r="C3" s="64"/>
      <c r="D3" s="64"/>
      <c r="E3" s="64"/>
      <c r="F3" s="64"/>
      <c r="G3" s="64"/>
    </row>
    <row r="4" spans="1:7" ht="34.5" customHeight="1" x14ac:dyDescent="0.2">
      <c r="A4" s="104" t="s">
        <v>43</v>
      </c>
      <c r="B4" s="104"/>
      <c r="C4" s="104"/>
      <c r="D4" s="104"/>
      <c r="E4" s="104"/>
      <c r="F4" s="104"/>
      <c r="G4" s="104"/>
    </row>
    <row r="5" spans="1:7" x14ac:dyDescent="0.2">
      <c r="A5" s="64"/>
      <c r="B5" s="64"/>
      <c r="C5" s="64"/>
      <c r="D5" s="64"/>
      <c r="E5" s="64"/>
      <c r="F5" s="64"/>
      <c r="G5" s="64"/>
    </row>
    <row r="6" spans="1:7" x14ac:dyDescent="0.2">
      <c r="A6" s="64"/>
      <c r="B6" s="64"/>
      <c r="C6" s="64"/>
      <c r="D6" s="64"/>
      <c r="E6" s="64"/>
      <c r="F6" s="64"/>
      <c r="G6" s="64"/>
    </row>
    <row r="7" spans="1:7" ht="67.5" customHeight="1" x14ac:dyDescent="0.2">
      <c r="A7" s="64"/>
      <c r="B7" s="105" t="str">
        <f>"Je soussigné, "&amp;'Frais AUTO'!C3&amp;", "&amp;'Frais AUTO'!C4&amp;", ai opté le 1er Janvier "&amp;'Frais AUTO'!F5&amp;" pour l'évaluation forfaitaire des frais de carburant supportés au cours de déplacements professionnels au titre de véhicules pris en location."</f>
        <v>Je soussigné, , , ai opté le 1er Janvier 2019 pour l'évaluation forfaitaire des frais de carburant supportés au cours de déplacements professionnels au titre de véhicules pris en location.</v>
      </c>
      <c r="C7" s="105"/>
      <c r="D7" s="105"/>
      <c r="E7" s="105"/>
      <c r="F7" s="105"/>
      <c r="G7" s="64"/>
    </row>
    <row r="8" spans="1:7" x14ac:dyDescent="0.2">
      <c r="A8" s="64"/>
      <c r="B8" s="64"/>
      <c r="C8" s="64"/>
      <c r="D8" s="64"/>
      <c r="E8" s="64"/>
      <c r="F8" s="64"/>
      <c r="G8" s="64"/>
    </row>
    <row r="9" spans="1:7" ht="15.75" x14ac:dyDescent="0.25">
      <c r="A9" s="64"/>
      <c r="B9" s="106" t="s">
        <v>58</v>
      </c>
      <c r="C9" s="107"/>
      <c r="D9" s="107"/>
      <c r="E9" s="107"/>
      <c r="F9" s="107"/>
      <c r="G9" s="64"/>
    </row>
    <row r="10" spans="1:7" x14ac:dyDescent="0.2">
      <c r="A10" s="64"/>
      <c r="B10" s="64"/>
      <c r="C10" s="64"/>
      <c r="D10" s="64"/>
      <c r="E10" s="64"/>
      <c r="F10" s="64"/>
      <c r="G10" s="64"/>
    </row>
    <row r="11" spans="1:7" ht="15.75" x14ac:dyDescent="0.25">
      <c r="A11" s="64"/>
      <c r="B11" s="65" t="s">
        <v>47</v>
      </c>
      <c r="C11" s="66"/>
      <c r="D11" s="66"/>
      <c r="E11" s="102"/>
      <c r="F11" s="103"/>
      <c r="G11" s="64"/>
    </row>
    <row r="12" spans="1:7" x14ac:dyDescent="0.2">
      <c r="A12" s="64"/>
      <c r="B12" s="65"/>
      <c r="C12" s="66"/>
      <c r="D12" s="66"/>
      <c r="E12" s="67"/>
      <c r="F12" s="67"/>
      <c r="G12" s="64"/>
    </row>
    <row r="13" spans="1:7" x14ac:dyDescent="0.2">
      <c r="A13" s="64"/>
      <c r="B13" s="68" t="s">
        <v>44</v>
      </c>
      <c r="C13" s="64"/>
      <c r="D13" s="64"/>
      <c r="E13" s="64"/>
      <c r="F13" s="64"/>
      <c r="G13" s="64"/>
    </row>
    <row r="14" spans="1:7" ht="15.75" x14ac:dyDescent="0.25">
      <c r="A14" s="64"/>
      <c r="B14" s="64"/>
      <c r="C14" s="68" t="s">
        <v>45</v>
      </c>
      <c r="D14" s="64"/>
      <c r="E14" s="102"/>
      <c r="F14" s="103"/>
      <c r="G14" s="64"/>
    </row>
    <row r="15" spans="1:7" ht="15.75" x14ac:dyDescent="0.25">
      <c r="A15" s="64"/>
      <c r="B15" s="64"/>
      <c r="C15" s="68" t="s">
        <v>46</v>
      </c>
      <c r="D15" s="64"/>
      <c r="E15" s="102"/>
      <c r="F15" s="103"/>
      <c r="G15" s="64"/>
    </row>
    <row r="16" spans="1:7" ht="15.75" x14ac:dyDescent="0.25">
      <c r="A16" s="64"/>
      <c r="B16" s="64"/>
      <c r="C16" s="102"/>
      <c r="D16" s="108"/>
      <c r="E16" s="108"/>
      <c r="F16" s="103"/>
      <c r="G16" s="64"/>
    </row>
    <row r="17" spans="1:7" ht="15.75" x14ac:dyDescent="0.25">
      <c r="A17" s="64"/>
      <c r="B17" s="64"/>
      <c r="C17" s="102"/>
      <c r="D17" s="108"/>
      <c r="E17" s="108"/>
      <c r="F17" s="103"/>
      <c r="G17" s="64"/>
    </row>
    <row r="18" spans="1:7" x14ac:dyDescent="0.2">
      <c r="A18" s="64"/>
      <c r="B18" s="64"/>
      <c r="C18" s="64"/>
      <c r="D18" s="64"/>
      <c r="E18" s="64"/>
      <c r="F18" s="64"/>
      <c r="G18" s="64"/>
    </row>
    <row r="19" spans="1:7" ht="15.75" x14ac:dyDescent="0.25">
      <c r="A19" s="64"/>
      <c r="B19" s="69" t="s">
        <v>50</v>
      </c>
      <c r="C19" s="64"/>
      <c r="D19" s="64"/>
      <c r="E19" s="64"/>
      <c r="F19" s="64"/>
      <c r="G19" s="64"/>
    </row>
    <row r="20" spans="1:7" ht="15.75" x14ac:dyDescent="0.25">
      <c r="A20" s="64"/>
      <c r="B20" s="64"/>
      <c r="C20" s="68" t="s">
        <v>48</v>
      </c>
      <c r="D20" s="102"/>
      <c r="E20" s="108"/>
      <c r="F20" s="103"/>
      <c r="G20" s="64"/>
    </row>
    <row r="21" spans="1:7" ht="15.75" x14ac:dyDescent="0.25">
      <c r="A21" s="64"/>
      <c r="B21" s="64"/>
      <c r="C21" s="68" t="s">
        <v>49</v>
      </c>
      <c r="D21" s="70"/>
      <c r="E21" s="111"/>
      <c r="F21" s="112"/>
      <c r="G21" s="64"/>
    </row>
    <row r="22" spans="1:7" x14ac:dyDescent="0.2">
      <c r="A22" s="64"/>
      <c r="B22" s="64"/>
      <c r="C22" s="64"/>
      <c r="D22" s="64"/>
      <c r="E22" s="64"/>
      <c r="F22" s="64"/>
      <c r="G22" s="64"/>
    </row>
    <row r="23" spans="1:7" x14ac:dyDescent="0.2">
      <c r="A23" s="64"/>
      <c r="B23" s="64"/>
      <c r="C23" s="64"/>
      <c r="D23" s="64"/>
      <c r="E23" s="64"/>
      <c r="F23" s="64"/>
      <c r="G23" s="64"/>
    </row>
    <row r="24" spans="1:7" ht="15.75" x14ac:dyDescent="0.25">
      <c r="A24" s="64"/>
      <c r="B24" s="69" t="s">
        <v>51</v>
      </c>
      <c r="C24" s="64"/>
      <c r="D24" s="64"/>
      <c r="E24" s="64"/>
      <c r="F24" s="37"/>
      <c r="G24" s="64"/>
    </row>
    <row r="25" spans="1:7" x14ac:dyDescent="0.2">
      <c r="A25" s="64"/>
      <c r="B25" s="64"/>
      <c r="C25" s="64"/>
      <c r="D25" s="64"/>
      <c r="E25" s="64"/>
      <c r="F25" s="64"/>
      <c r="G25" s="64"/>
    </row>
    <row r="26" spans="1:7" x14ac:dyDescent="0.2">
      <c r="A26" s="64"/>
      <c r="B26" s="68" t="s">
        <v>52</v>
      </c>
      <c r="C26" s="64"/>
      <c r="D26" s="64"/>
      <c r="E26" s="64"/>
      <c r="F26" s="64"/>
      <c r="G26" s="64"/>
    </row>
    <row r="27" spans="1:7" ht="15.75" x14ac:dyDescent="0.25">
      <c r="A27" s="64"/>
      <c r="B27" s="64" t="s">
        <v>53</v>
      </c>
      <c r="C27" s="64"/>
      <c r="D27" s="64"/>
      <c r="E27" s="64"/>
      <c r="F27" s="37"/>
      <c r="G27" s="64"/>
    </row>
    <row r="28" spans="1:7" x14ac:dyDescent="0.2">
      <c r="A28" s="64"/>
      <c r="B28" s="64"/>
      <c r="C28" s="64"/>
      <c r="D28" s="64"/>
      <c r="E28" s="64"/>
      <c r="F28" s="64"/>
      <c r="G28" s="64"/>
    </row>
    <row r="29" spans="1:7" x14ac:dyDescent="0.2">
      <c r="A29" s="64"/>
      <c r="B29" s="64"/>
      <c r="C29" s="64"/>
      <c r="D29" s="64"/>
      <c r="E29" s="64"/>
      <c r="F29" s="64"/>
      <c r="G29" s="64"/>
    </row>
    <row r="30" spans="1:7" ht="15.75" x14ac:dyDescent="0.25">
      <c r="A30" s="64"/>
      <c r="B30" s="69" t="s">
        <v>54</v>
      </c>
      <c r="C30" s="64"/>
      <c r="D30" s="64"/>
      <c r="E30" s="64"/>
      <c r="F30" s="36" t="str">
        <f>FIXED('Frais AUTO'!E28,0)&amp;" €"</f>
        <v>0 €</v>
      </c>
      <c r="G30" s="64"/>
    </row>
    <row r="31" spans="1:7" x14ac:dyDescent="0.2">
      <c r="A31" s="64"/>
      <c r="B31" s="64"/>
      <c r="C31" s="64"/>
      <c r="D31" s="64"/>
      <c r="E31" s="64"/>
      <c r="F31" s="64"/>
      <c r="G31" s="64"/>
    </row>
    <row r="32" spans="1:7" x14ac:dyDescent="0.2">
      <c r="A32" s="64"/>
      <c r="B32" s="64"/>
      <c r="C32" s="64"/>
      <c r="D32" s="64"/>
      <c r="E32" s="64"/>
      <c r="F32" s="64"/>
      <c r="G32" s="64"/>
    </row>
    <row r="33" spans="1:7" x14ac:dyDescent="0.2">
      <c r="A33" s="64"/>
      <c r="B33" s="64" t="s">
        <v>55</v>
      </c>
      <c r="C33" s="109"/>
      <c r="D33" s="113"/>
      <c r="E33" s="113"/>
      <c r="F33" s="110"/>
      <c r="G33" s="64"/>
    </row>
    <row r="34" spans="1:7" x14ac:dyDescent="0.2">
      <c r="A34" s="64"/>
      <c r="B34" s="64" t="s">
        <v>56</v>
      </c>
      <c r="C34" s="109"/>
      <c r="D34" s="110"/>
      <c r="E34" s="64"/>
      <c r="F34" s="64"/>
      <c r="G34" s="64"/>
    </row>
    <row r="35" spans="1:7" x14ac:dyDescent="0.2">
      <c r="A35" s="64"/>
      <c r="B35" s="64"/>
      <c r="C35" s="64"/>
      <c r="D35" s="64"/>
      <c r="E35" s="64"/>
      <c r="F35" s="64"/>
      <c r="G35" s="64"/>
    </row>
    <row r="36" spans="1:7" x14ac:dyDescent="0.2">
      <c r="A36" s="64"/>
      <c r="B36" s="64" t="s">
        <v>57</v>
      </c>
      <c r="C36" s="64"/>
      <c r="D36" s="64"/>
      <c r="E36" s="64"/>
      <c r="F36" s="64"/>
      <c r="G36" s="64"/>
    </row>
    <row r="37" spans="1:7" x14ac:dyDescent="0.2">
      <c r="A37" s="64"/>
      <c r="B37" s="64"/>
      <c r="C37" s="64"/>
      <c r="D37" s="64"/>
      <c r="E37" s="64"/>
      <c r="F37" s="64"/>
      <c r="G37" s="64"/>
    </row>
    <row r="38" spans="1:7" x14ac:dyDescent="0.2">
      <c r="A38" s="64"/>
      <c r="B38" s="64"/>
      <c r="C38" s="64"/>
      <c r="D38" s="64"/>
      <c r="E38" s="64"/>
      <c r="F38" s="64"/>
      <c r="G38" s="64"/>
    </row>
    <row r="39" spans="1:7" x14ac:dyDescent="0.2">
      <c r="A39" s="64"/>
      <c r="B39" s="64"/>
      <c r="C39" s="64"/>
      <c r="D39" s="64"/>
      <c r="E39" s="64"/>
      <c r="F39" s="64"/>
      <c r="G39" s="64"/>
    </row>
    <row r="40" spans="1:7" x14ac:dyDescent="0.2">
      <c r="A40" s="64"/>
      <c r="B40" s="64"/>
      <c r="C40" s="64"/>
      <c r="D40" s="64"/>
      <c r="E40" s="64"/>
      <c r="F40" s="64"/>
      <c r="G40" s="64"/>
    </row>
    <row r="41" spans="1:7" x14ac:dyDescent="0.2">
      <c r="A41" s="64"/>
      <c r="B41" s="64"/>
      <c r="C41" s="64"/>
      <c r="D41" s="64"/>
      <c r="E41" s="64"/>
      <c r="F41" s="64"/>
      <c r="G41" s="64"/>
    </row>
  </sheetData>
  <sheetProtection selectLockedCells="1"/>
  <mergeCells count="12">
    <mergeCell ref="C16:F16"/>
    <mergeCell ref="C17:F17"/>
    <mergeCell ref="C34:D34"/>
    <mergeCell ref="D20:F20"/>
    <mergeCell ref="E21:F21"/>
    <mergeCell ref="C33:F33"/>
    <mergeCell ref="E15:F15"/>
    <mergeCell ref="A4:G4"/>
    <mergeCell ref="B7:F7"/>
    <mergeCell ref="B9:F9"/>
    <mergeCell ref="E11:F11"/>
    <mergeCell ref="E14:F14"/>
  </mergeCells>
  <phoneticPr fontId="1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Zeros="0" topLeftCell="C1" workbookViewId="0">
      <selection activeCell="M36" sqref="M36"/>
    </sheetView>
  </sheetViews>
  <sheetFormatPr baseColWidth="10" defaultRowHeight="12.75" x14ac:dyDescent="0.2"/>
  <cols>
    <col min="1" max="1" width="21.42578125" customWidth="1"/>
    <col min="2" max="2" width="13.28515625" customWidth="1"/>
    <col min="4" max="4" width="18.140625" customWidth="1"/>
    <col min="10" max="10" width="12.140625" bestFit="1" customWidth="1"/>
    <col min="11" max="11" width="12.140625" customWidth="1"/>
  </cols>
  <sheetData>
    <row r="1" spans="1:12" x14ac:dyDescent="0.2">
      <c r="A1" s="3" t="s">
        <v>8</v>
      </c>
      <c r="B1" s="3"/>
      <c r="G1" s="7" t="s">
        <v>63</v>
      </c>
      <c r="H1">
        <v>1</v>
      </c>
      <c r="I1">
        <v>-5000</v>
      </c>
      <c r="J1" s="114" t="s">
        <v>29</v>
      </c>
      <c r="K1" s="114"/>
      <c r="L1">
        <v>20000</v>
      </c>
    </row>
    <row r="2" spans="1:12" x14ac:dyDescent="0.2">
      <c r="A2" s="3">
        <f>2+H1</f>
        <v>3</v>
      </c>
      <c r="B2" s="3" t="s">
        <v>9</v>
      </c>
      <c r="G2" t="s">
        <v>24</v>
      </c>
      <c r="I2">
        <v>0.45600000000000002</v>
      </c>
      <c r="J2">
        <v>0.27300000000000002</v>
      </c>
      <c r="K2">
        <v>915</v>
      </c>
      <c r="L2">
        <v>0.318</v>
      </c>
    </row>
    <row r="3" spans="1:12" x14ac:dyDescent="0.2">
      <c r="A3" s="3">
        <f>'Frais AUTO'!D12</f>
        <v>0</v>
      </c>
      <c r="B3" s="3" t="s">
        <v>10</v>
      </c>
      <c r="G3" t="s">
        <v>25</v>
      </c>
      <c r="I3">
        <v>0.52300000000000002</v>
      </c>
      <c r="J3">
        <v>0.29399999999999998</v>
      </c>
      <c r="K3">
        <v>1147</v>
      </c>
      <c r="L3">
        <v>0.35199999999999998</v>
      </c>
    </row>
    <row r="4" spans="1:12" x14ac:dyDescent="0.2">
      <c r="A4" s="3"/>
      <c r="B4" s="3"/>
      <c r="G4" t="s">
        <v>26</v>
      </c>
      <c r="I4">
        <v>0.54800000000000004</v>
      </c>
      <c r="J4">
        <v>0.308</v>
      </c>
      <c r="K4">
        <v>1200</v>
      </c>
      <c r="L4">
        <v>0.36799999999999999</v>
      </c>
    </row>
    <row r="5" spans="1:12" x14ac:dyDescent="0.2">
      <c r="A5" s="3" t="s">
        <v>63</v>
      </c>
      <c r="B5" s="3"/>
      <c r="G5" t="s">
        <v>27</v>
      </c>
      <c r="I5">
        <v>0.57399999999999995</v>
      </c>
      <c r="J5">
        <v>0.32300000000000001</v>
      </c>
      <c r="K5">
        <v>1256</v>
      </c>
      <c r="L5">
        <v>0.38600000000000001</v>
      </c>
    </row>
    <row r="6" spans="1:12" x14ac:dyDescent="0.2">
      <c r="A6" s="3">
        <v>3</v>
      </c>
      <c r="B6" s="4" t="str">
        <f>IF(A$3=0,"",IF(A$2=A6,IF(A$3&lt;=5000,A$3*I2,IF(A$3&gt;20000,A$3*L2,((A$3*J2)+K2))),""))</f>
        <v/>
      </c>
      <c r="D6" s="4" t="str">
        <f t="shared" ref="D6:D16" si="0">IF(A$3=0,"",IF(A$2=A6,IF(A$3&lt;=5000,I2&amp;" )",IF(A$3&gt;20000,L2&amp;" )",J2&amp;" ) + "&amp;FIXED(K2,0))),""))</f>
        <v/>
      </c>
      <c r="E6" s="4"/>
      <c r="G6" t="s">
        <v>28</v>
      </c>
      <c r="I6">
        <v>0.60099999999999998</v>
      </c>
      <c r="J6">
        <v>0.34</v>
      </c>
      <c r="K6">
        <v>1301</v>
      </c>
      <c r="L6">
        <v>0.40500000000000003</v>
      </c>
    </row>
    <row r="7" spans="1:12" x14ac:dyDescent="0.2">
      <c r="A7" s="3">
        <v>4</v>
      </c>
      <c r="B7" s="4" t="str">
        <f>IF(A$3=0,"",IF(A$2=A7,IF(A$3&lt;=5000,A$3*I3,IF(A$3&gt;20000,A$3*L3,((A$3*J3)+K3))),""))</f>
        <v/>
      </c>
      <c r="D7" s="4" t="str">
        <f t="shared" si="0"/>
        <v/>
      </c>
    </row>
    <row r="8" spans="1:12" x14ac:dyDescent="0.2">
      <c r="A8" s="3">
        <v>5</v>
      </c>
      <c r="B8" s="4" t="str">
        <f t="shared" ref="B8:B15" si="1">IF(A$3=0,"",IF(A$2=A8,IF(A$3&lt;=5000,A$3*I4,IF(A$3&gt;20000,A$3*L4,((A$3*J4)+K4))),""))</f>
        <v/>
      </c>
      <c r="D8" s="4" t="str">
        <f t="shared" si="0"/>
        <v/>
      </c>
    </row>
    <row r="9" spans="1:12" x14ac:dyDescent="0.2">
      <c r="A9" s="3">
        <v>6</v>
      </c>
      <c r="B9" s="4" t="str">
        <f t="shared" si="1"/>
        <v/>
      </c>
      <c r="D9" s="4" t="str">
        <f t="shared" si="0"/>
        <v/>
      </c>
    </row>
    <row r="10" spans="1:12" x14ac:dyDescent="0.2">
      <c r="A10" s="3">
        <v>7</v>
      </c>
      <c r="B10" s="4" t="str">
        <f t="shared" si="1"/>
        <v/>
      </c>
      <c r="D10" s="4" t="str">
        <f t="shared" si="0"/>
        <v/>
      </c>
    </row>
    <row r="11" spans="1:12" x14ac:dyDescent="0.2">
      <c r="A11" s="3">
        <v>8</v>
      </c>
      <c r="B11" s="4" t="str">
        <f t="shared" si="1"/>
        <v/>
      </c>
      <c r="D11" s="4" t="str">
        <f t="shared" si="0"/>
        <v/>
      </c>
    </row>
    <row r="12" spans="1:12" x14ac:dyDescent="0.2">
      <c r="A12" s="3">
        <v>9</v>
      </c>
      <c r="B12" s="4" t="str">
        <f t="shared" si="1"/>
        <v/>
      </c>
      <c r="D12" s="4" t="str">
        <f t="shared" si="0"/>
        <v/>
      </c>
    </row>
    <row r="13" spans="1:12" x14ac:dyDescent="0.2">
      <c r="A13" s="3">
        <v>10</v>
      </c>
      <c r="B13" s="4" t="str">
        <f t="shared" si="1"/>
        <v/>
      </c>
      <c r="D13" s="4" t="str">
        <f t="shared" si="0"/>
        <v/>
      </c>
    </row>
    <row r="14" spans="1:12" x14ac:dyDescent="0.2">
      <c r="A14" s="3">
        <v>11</v>
      </c>
      <c r="B14" s="4" t="str">
        <f t="shared" si="1"/>
        <v/>
      </c>
      <c r="D14" s="4" t="str">
        <f t="shared" si="0"/>
        <v/>
      </c>
    </row>
    <row r="15" spans="1:12" x14ac:dyDescent="0.2">
      <c r="A15" s="3">
        <v>12</v>
      </c>
      <c r="B15" s="4" t="str">
        <f t="shared" si="1"/>
        <v/>
      </c>
      <c r="D15" s="4" t="str">
        <f t="shared" si="0"/>
        <v/>
      </c>
    </row>
    <row r="16" spans="1:12" x14ac:dyDescent="0.2">
      <c r="A16" s="3">
        <v>13</v>
      </c>
      <c r="B16" s="4" t="str">
        <f>IF(A$3=0,"",IF(A$2=A16,IF(A$3&lt;=5000,A$3*I12,IF(A$3&gt;20000,A$3*L12,((A$3*J12)+K12))),""))</f>
        <v/>
      </c>
      <c r="D16" s="4" t="str">
        <f t="shared" si="0"/>
        <v/>
      </c>
    </row>
    <row r="17" spans="1:11" x14ac:dyDescent="0.2">
      <c r="A17" s="3"/>
      <c r="B17" s="4">
        <f>ROUND(SUM(B6:B16),0)</f>
        <v>0</v>
      </c>
      <c r="D17" s="2" t="str">
        <f>D6 &amp; D7 &amp; D8 &amp; D9 &amp; D10 &amp; D11 &amp; D12 &amp; D13 &amp; D14 &amp; D15 &amp; D16</f>
        <v/>
      </c>
    </row>
    <row r="18" spans="1:11" x14ac:dyDescent="0.2">
      <c r="A18" s="3"/>
      <c r="B18" s="3"/>
    </row>
    <row r="19" spans="1:11" x14ac:dyDescent="0.2">
      <c r="A19" s="3" t="s">
        <v>11</v>
      </c>
      <c r="B19" s="3"/>
      <c r="G19" s="7" t="s">
        <v>31</v>
      </c>
      <c r="H19">
        <v>1</v>
      </c>
      <c r="I19" t="s">
        <v>32</v>
      </c>
      <c r="J19" t="s">
        <v>33</v>
      </c>
      <c r="K19" t="s">
        <v>34</v>
      </c>
    </row>
    <row r="20" spans="1:11" x14ac:dyDescent="0.2">
      <c r="A20" s="3">
        <f>IF(H19=1,4,IF(H19=2,7,IF(H19=3,9,IF(H19=4,11,12))))</f>
        <v>4</v>
      </c>
      <c r="B20" s="3" t="s">
        <v>9</v>
      </c>
      <c r="G20" t="s">
        <v>42</v>
      </c>
      <c r="I20">
        <v>0.08</v>
      </c>
      <c r="J20">
        <v>9.9000000000000005E-2</v>
      </c>
      <c r="K20">
        <v>6.4000000000000001E-2</v>
      </c>
    </row>
    <row r="21" spans="1:11" x14ac:dyDescent="0.2">
      <c r="A21" s="3">
        <f>'Frais AUTO'!D23</f>
        <v>0</v>
      </c>
      <c r="B21" s="3" t="s">
        <v>10</v>
      </c>
      <c r="G21" t="s">
        <v>12</v>
      </c>
      <c r="I21">
        <v>9.8000000000000004E-2</v>
      </c>
      <c r="J21">
        <v>0.122</v>
      </c>
      <c r="K21">
        <v>7.9000000000000001E-2</v>
      </c>
    </row>
    <row r="22" spans="1:11" ht="16.5" customHeight="1" x14ac:dyDescent="0.2">
      <c r="B22" s="3"/>
      <c r="G22" t="s">
        <v>13</v>
      </c>
      <c r="I22">
        <v>0.11700000000000001</v>
      </c>
      <c r="J22">
        <v>0.14499999999999999</v>
      </c>
      <c r="K22">
        <v>9.4E-2</v>
      </c>
    </row>
    <row r="23" spans="1:11" x14ac:dyDescent="0.2">
      <c r="A23" s="3">
        <v>4</v>
      </c>
      <c r="B23" s="3">
        <f>IF($A$20&lt;=A23,IF($H$26=1,A$21*I20,IF($H$26=2,A$21*J20,IF($H$26=3,A$21*K20,IF($H$26=4,A$21*L20,"")))),"")</f>
        <v>0</v>
      </c>
      <c r="D23" s="3">
        <f>IF($A$20&lt;=A23,IF($H$26=1,I20,IF($H$26=2,J20,IF($H$26=3,K20,IF($H$26=4,L20,"")))),"")</f>
        <v>0.08</v>
      </c>
      <c r="G23" t="s">
        <v>14</v>
      </c>
      <c r="I23">
        <v>0.13200000000000001</v>
      </c>
      <c r="J23">
        <v>0.16300000000000001</v>
      </c>
      <c r="K23">
        <v>0.106</v>
      </c>
    </row>
    <row r="24" spans="1:11" x14ac:dyDescent="0.2">
      <c r="A24" s="3">
        <v>7</v>
      </c>
      <c r="B24" s="3" t="str">
        <f>IF($A$20&gt;A23,IF($A$20&lt;=A24,IF($H$26=1,A$21*I21,IF($H$26=2,A$21*J21,IF($H$26=3,A$21*K21,IF($H$26=4,A$21*L21,"")))),""),"")</f>
        <v/>
      </c>
      <c r="D24" s="3" t="str">
        <f>IF($A$20&gt;A23,IF($A$20&lt;=A24,IF($H$26=1,I21,IF($H$26=2,J21,IF($H$26=3,K21,IF($H$26=4,L21,"")))),""),"")</f>
        <v/>
      </c>
      <c r="G24" t="s">
        <v>15</v>
      </c>
      <c r="I24">
        <v>0.14599999999999999</v>
      </c>
      <c r="J24">
        <v>0.182</v>
      </c>
      <c r="K24">
        <v>0.11799999999999999</v>
      </c>
    </row>
    <row r="25" spans="1:11" x14ac:dyDescent="0.2">
      <c r="A25" s="3">
        <v>9</v>
      </c>
      <c r="B25" s="3" t="str">
        <f>IF($A$20&gt;A24,IF($A$20&lt;=A25,IF($H$26=1,A$21*I22,IF($H$26=2,A$21*J22,IF($H$26=3,A$21*K22,IF($H$26=4,A$21*L22,"")))),""),"")</f>
        <v/>
      </c>
      <c r="D25" s="3" t="str">
        <f>IF($A$20&gt;A24,IF($A$20&lt;=A25,IF($H$26=1,I22,IF($H$26=2,J22,IF($H$26=3,K22,IF($H$26=4,L22,"")))),""),"")</f>
        <v/>
      </c>
    </row>
    <row r="26" spans="1:11" x14ac:dyDescent="0.2">
      <c r="A26" s="3">
        <v>11</v>
      </c>
      <c r="B26" s="3" t="str">
        <f>IF($A$20&gt;A25,IF($A$20&lt;=A26,IF($H$26=1,A$21*I23,IF($H$26=2,A$21*J23,IF($H$26=3,A$21*K23,IF($H$26=4,A$21*L23,"")))),""),"")</f>
        <v/>
      </c>
      <c r="D26" s="3" t="str">
        <f>IF($A$20&gt;A25,IF($A$20&lt;=A26,IF($H$26=1,I23,IF($H$26=2,J23,IF($H$26=3,K23,IF($H$26=4,L23,"")))),""),"")</f>
        <v/>
      </c>
      <c r="G26" t="s">
        <v>35</v>
      </c>
      <c r="H26">
        <v>1</v>
      </c>
    </row>
    <row r="27" spans="1:11" x14ac:dyDescent="0.2">
      <c r="A27" s="3">
        <v>12</v>
      </c>
      <c r="B27" s="3" t="str">
        <f>IF($A$20&gt;=A27,IF(H26=1,A$21*I24,IF(H26=2,A$21*J24,IF(H26=3,A$21*K24,IF(H26=4,A$21*L24,"")))),"")</f>
        <v/>
      </c>
      <c r="D27" s="3" t="str">
        <f>IF($A$20&gt;=A27,IF(H26=1,I24,IF(H26=2,J24,IF(H26=3,K24,IF(H26=4,L24,"")))),"")</f>
        <v/>
      </c>
      <c r="G27" t="s">
        <v>36</v>
      </c>
    </row>
    <row r="28" spans="1:11" x14ac:dyDescent="0.2">
      <c r="A28" s="3"/>
      <c r="B28" s="3">
        <f>ROUND(SUM(B23:B27),0)</f>
        <v>0</v>
      </c>
      <c r="D28" s="26" t="str">
        <f>D23 &amp; D24 &amp; D25 &amp; D26 &amp; D27</f>
        <v>0,08</v>
      </c>
      <c r="G28" t="s">
        <v>37</v>
      </c>
    </row>
    <row r="29" spans="1:11" x14ac:dyDescent="0.2">
      <c r="A29" s="3"/>
      <c r="B29" s="3"/>
    </row>
    <row r="30" spans="1:11" x14ac:dyDescent="0.2">
      <c r="A30" s="3" t="s">
        <v>16</v>
      </c>
      <c r="B30" s="3"/>
    </row>
    <row r="31" spans="1:11" x14ac:dyDescent="0.2">
      <c r="A31" s="4">
        <f>'Frais MOTO'!D9</f>
        <v>0</v>
      </c>
      <c r="B31" s="3" t="s">
        <v>17</v>
      </c>
    </row>
    <row r="32" spans="1:11" x14ac:dyDescent="0.2">
      <c r="A32" s="3" t="s">
        <v>63</v>
      </c>
      <c r="D32" s="2"/>
      <c r="G32" s="7" t="s">
        <v>63</v>
      </c>
      <c r="H32">
        <v>1</v>
      </c>
    </row>
    <row r="33" spans="1:12" ht="14.25" x14ac:dyDescent="0.2">
      <c r="A33" s="5" t="s">
        <v>18</v>
      </c>
      <c r="B33" s="3">
        <f>IF(H32=1,IF($A$31&lt;=2000,A31*I33,IF($A$31&gt;5000,A31*L33,(A31*J33)+K33)),"")</f>
        <v>0</v>
      </c>
      <c r="D33" s="3" t="str">
        <f>IF(H32=1,IF($A$31&lt;=2000,I33&amp;" )",IF($A$31&gt;5000,L33&amp;" )",J33&amp;" ) + "&amp;K33)),"")</f>
        <v>0,272 )</v>
      </c>
      <c r="G33" s="5" t="s">
        <v>39</v>
      </c>
      <c r="I33">
        <v>0.27200000000000002</v>
      </c>
      <c r="J33">
        <v>6.4000000000000001E-2</v>
      </c>
      <c r="K33">
        <v>416</v>
      </c>
      <c r="L33">
        <v>0.14699999999999999</v>
      </c>
    </row>
    <row r="34" spans="1:12" x14ac:dyDescent="0.2">
      <c r="A34" s="3" t="s">
        <v>59</v>
      </c>
      <c r="B34" s="3" t="str">
        <f>IF(H32=2,IF($A31&lt;=3000,A31*I34,IF($A$31&gt;6000,A31*L34,(A31*J34)+K34)),"")</f>
        <v/>
      </c>
      <c r="D34" s="3" t="str">
        <f>IF(H32=2,IF($A$31&lt;=3000,I34&amp;" )",IF($A$31&gt;6000,L34&amp;" )",J34&amp;" ) + "&amp;K34)),"")</f>
        <v/>
      </c>
      <c r="G34" s="3" t="s">
        <v>59</v>
      </c>
      <c r="I34">
        <v>0.34100000000000003</v>
      </c>
      <c r="J34">
        <v>8.5000000000000006E-2</v>
      </c>
      <c r="K34">
        <v>768</v>
      </c>
      <c r="L34">
        <v>0.21299999999999999</v>
      </c>
    </row>
    <row r="35" spans="1:12" x14ac:dyDescent="0.2">
      <c r="A35" s="3" t="s">
        <v>20</v>
      </c>
      <c r="B35" s="3" t="str">
        <f>IF(H32=3,IF($A$31&lt;=3000,A31*I35,IF($A$31&gt;6000,A31*L35,(A31*J35)+K35)),"")</f>
        <v/>
      </c>
      <c r="D35" s="3" t="str">
        <f>IF(H32=3,IF($A$31&lt;=3000,I35&amp;" )",IF($A$31&gt;6000,L35&amp;" )",J35&amp;" ) + "&amp;K35)),"")</f>
        <v/>
      </c>
      <c r="G35" s="3" t="s">
        <v>20</v>
      </c>
      <c r="I35">
        <v>0.40400000000000003</v>
      </c>
      <c r="J35">
        <v>7.0999999999999994E-2</v>
      </c>
      <c r="K35">
        <v>999</v>
      </c>
      <c r="L35">
        <v>0.23699999999999999</v>
      </c>
    </row>
    <row r="36" spans="1:12" x14ac:dyDescent="0.2">
      <c r="A36" s="3" t="s">
        <v>21</v>
      </c>
      <c r="B36" s="3" t="str">
        <f>IF(H32=4,IF($A$31&lt;=3000,A31*I36,IF($A$31&gt;6000,A31*L36,(A31*J36)+K36)),"")</f>
        <v/>
      </c>
      <c r="D36" s="3" t="str">
        <f>IF(H32=4,IF($A$31&lt;=3000,I36&amp;" )",IF($A$31&gt;6000,L36&amp;" )",J36&amp;" ) + "&amp;K36)),"")</f>
        <v/>
      </c>
      <c r="G36" s="3" t="s">
        <v>21</v>
      </c>
      <c r="I36">
        <v>0.52300000000000002</v>
      </c>
      <c r="J36">
        <v>6.8000000000000005E-2</v>
      </c>
      <c r="K36">
        <v>1365</v>
      </c>
      <c r="L36">
        <v>0.29499999999999998</v>
      </c>
    </row>
    <row r="37" spans="1:12" x14ac:dyDescent="0.2">
      <c r="A37" s="3"/>
      <c r="B37" s="3">
        <f>ROUND(SUM(B33:B36),0)</f>
        <v>0</v>
      </c>
      <c r="D37" t="str">
        <f>D33 &amp; D34 &amp; D35 &amp; D36</f>
        <v>0,272 )</v>
      </c>
    </row>
    <row r="38" spans="1:12" x14ac:dyDescent="0.2">
      <c r="A38" s="3"/>
      <c r="B38" s="6"/>
      <c r="C38" s="1"/>
      <c r="D38" s="1"/>
    </row>
    <row r="39" spans="1:12" x14ac:dyDescent="0.2">
      <c r="A39" s="3" t="s">
        <v>22</v>
      </c>
      <c r="B39" s="3"/>
    </row>
    <row r="40" spans="1:12" x14ac:dyDescent="0.2">
      <c r="A40" s="3"/>
      <c r="B40" s="3"/>
    </row>
    <row r="41" spans="1:12" x14ac:dyDescent="0.2">
      <c r="A41" s="4">
        <f>'Frais MOTO'!D20</f>
        <v>0</v>
      </c>
      <c r="B41" s="3" t="s">
        <v>17</v>
      </c>
    </row>
    <row r="42" spans="1:12" ht="14.25" x14ac:dyDescent="0.2">
      <c r="A42" s="5" t="s">
        <v>18</v>
      </c>
      <c r="B42" s="3" t="str">
        <f>IF($H$42=1,$A$41*I42,"")</f>
        <v/>
      </c>
      <c r="D42" s="3" t="str">
        <f>IF(H42=1,I42&amp;" )","")</f>
        <v/>
      </c>
      <c r="G42" s="5" t="s">
        <v>39</v>
      </c>
      <c r="H42">
        <v>2</v>
      </c>
      <c r="I42">
        <v>3.2000000000000001E-2</v>
      </c>
    </row>
    <row r="43" spans="1:12" ht="14.25" x14ac:dyDescent="0.2">
      <c r="A43" s="3" t="s">
        <v>19</v>
      </c>
      <c r="B43" s="3">
        <f>IF($H$42=2,$A$41*I43,"")</f>
        <v>0</v>
      </c>
      <c r="D43" s="3" t="str">
        <f>IF(H42=2,I43&amp;" )","")</f>
        <v>0,065 )</v>
      </c>
      <c r="G43" s="3" t="s">
        <v>40</v>
      </c>
      <c r="I43">
        <v>6.5000000000000002E-2</v>
      </c>
    </row>
    <row r="44" spans="1:12" x14ac:dyDescent="0.2">
      <c r="A44" s="3" t="s">
        <v>20</v>
      </c>
      <c r="B44" s="3" t="str">
        <f>IF($H$42=3,$A$41*I44,"")</f>
        <v/>
      </c>
      <c r="D44" s="3" t="str">
        <f>IF(H42=3,I44&amp;" )","")</f>
        <v/>
      </c>
      <c r="G44" s="3" t="s">
        <v>20</v>
      </c>
      <c r="I44">
        <v>8.3000000000000004E-2</v>
      </c>
    </row>
    <row r="45" spans="1:12" x14ac:dyDescent="0.2">
      <c r="A45" s="3" t="s">
        <v>21</v>
      </c>
      <c r="B45" s="3" t="str">
        <f>IF($H$42=4,$A$41*I45,"")</f>
        <v/>
      </c>
      <c r="D45" s="3" t="str">
        <f>IF(H42=4,I45&amp;" )","")</f>
        <v/>
      </c>
      <c r="G45" s="3" t="s">
        <v>21</v>
      </c>
      <c r="I45">
        <v>0.115</v>
      </c>
    </row>
    <row r="46" spans="1:12" x14ac:dyDescent="0.2">
      <c r="A46" s="3"/>
      <c r="B46" s="3">
        <f>ROUND(SUM(B42:B45),0)</f>
        <v>0</v>
      </c>
      <c r="D46" t="str">
        <f>D42 &amp; D43 &amp; D44 &amp; D45</f>
        <v>0,065 )</v>
      </c>
    </row>
  </sheetData>
  <mergeCells count="1">
    <mergeCell ref="J1:K1"/>
  </mergeCells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showZeros="0" zoomScale="85" workbookViewId="0">
      <selection activeCell="I3" sqref="I3"/>
    </sheetView>
  </sheetViews>
  <sheetFormatPr baseColWidth="10" defaultRowHeight="12.75" x14ac:dyDescent="0.2"/>
  <cols>
    <col min="1" max="1" width="21.42578125" customWidth="1"/>
    <col min="2" max="2" width="13.28515625" customWidth="1"/>
    <col min="4" max="4" width="18.140625" customWidth="1"/>
    <col min="10" max="10" width="12.140625" bestFit="1" customWidth="1"/>
    <col min="11" max="11" width="12.140625" customWidth="1"/>
  </cols>
  <sheetData>
    <row r="1" spans="1:12" ht="68.25" customHeight="1" x14ac:dyDescent="0.2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">
      <c r="A2" s="3" t="s">
        <v>71</v>
      </c>
      <c r="B2" s="3"/>
      <c r="G2" s="7" t="s">
        <v>63</v>
      </c>
      <c r="H2">
        <v>1</v>
      </c>
      <c r="I2">
        <v>-5000</v>
      </c>
      <c r="J2" s="114" t="s">
        <v>29</v>
      </c>
      <c r="K2" s="114"/>
      <c r="L2">
        <v>20000</v>
      </c>
    </row>
    <row r="3" spans="1:12" x14ac:dyDescent="0.2">
      <c r="A3" s="3">
        <f>1+H2</f>
        <v>2</v>
      </c>
      <c r="B3" s="3" t="s">
        <v>9</v>
      </c>
      <c r="G3" t="s">
        <v>24</v>
      </c>
      <c r="I3">
        <f>Calculs!I$2</f>
        <v>0.45600000000000002</v>
      </c>
      <c r="J3">
        <f>Calculs!J$2</f>
        <v>0.27300000000000002</v>
      </c>
      <c r="K3">
        <f>Calculs!K$2</f>
        <v>915</v>
      </c>
      <c r="L3">
        <f>Calculs!L$2</f>
        <v>0.318</v>
      </c>
    </row>
    <row r="4" spans="1:12" x14ac:dyDescent="0.2">
      <c r="A4" s="4">
        <f>SOCIETES!G16</f>
        <v>0</v>
      </c>
      <c r="B4" s="3" t="s">
        <v>10</v>
      </c>
      <c r="G4" t="s">
        <v>25</v>
      </c>
      <c r="I4">
        <f>Calculs!I$3</f>
        <v>0.52300000000000002</v>
      </c>
      <c r="J4">
        <f>Calculs!J$3</f>
        <v>0.29399999999999998</v>
      </c>
      <c r="K4">
        <f>Calculs!K$3</f>
        <v>1147</v>
      </c>
      <c r="L4">
        <f>Calculs!L$3</f>
        <v>0.35199999999999998</v>
      </c>
    </row>
    <row r="5" spans="1:12" x14ac:dyDescent="0.2">
      <c r="A5" s="3"/>
      <c r="B5" s="3"/>
      <c r="G5" t="s">
        <v>26</v>
      </c>
      <c r="I5">
        <f>Calculs!I$4</f>
        <v>0.54800000000000004</v>
      </c>
      <c r="J5">
        <f>Calculs!J$4</f>
        <v>0.308</v>
      </c>
      <c r="K5">
        <f>Calculs!K$4</f>
        <v>1200</v>
      </c>
      <c r="L5">
        <f>Calculs!L$4</f>
        <v>0.36799999999999999</v>
      </c>
    </row>
    <row r="6" spans="1:12" x14ac:dyDescent="0.2">
      <c r="A6" s="3" t="s">
        <v>63</v>
      </c>
      <c r="B6" s="3"/>
      <c r="G6" t="s">
        <v>27</v>
      </c>
      <c r="I6">
        <f>Calculs!I$5</f>
        <v>0.57399999999999995</v>
      </c>
      <c r="J6">
        <f>Calculs!J$5</f>
        <v>0.32300000000000001</v>
      </c>
      <c r="K6">
        <f>Calculs!K$5</f>
        <v>1256</v>
      </c>
      <c r="L6">
        <f>Calculs!L$5</f>
        <v>0.38600000000000001</v>
      </c>
    </row>
    <row r="7" spans="1:12" x14ac:dyDescent="0.2">
      <c r="A7" s="3">
        <v>3</v>
      </c>
      <c r="B7" s="4" t="str">
        <f>IF(A4=0,"",IF(A3=A7,IF(A4&lt;=5000,A4*I3,IF(A4&gt;20000,A4*L3,((A4*J3)+K3))),""))</f>
        <v/>
      </c>
      <c r="D7" s="4" t="str">
        <f>IF(A4=0,"",IF(A3=A7,IF(A4&lt;=5000,I3&amp;" )",IF(A4&gt;20000,L3&amp;" )",J3&amp;" ) + "&amp;FIXED(K3,0))),""))</f>
        <v/>
      </c>
      <c r="E7" s="4"/>
      <c r="G7" t="s">
        <v>28</v>
      </c>
      <c r="I7">
        <f>Calculs!I$6</f>
        <v>0.60099999999999998</v>
      </c>
      <c r="J7">
        <f>Calculs!J$6</f>
        <v>0.34</v>
      </c>
      <c r="K7">
        <f>Calculs!K$6</f>
        <v>1301</v>
      </c>
      <c r="L7">
        <f>Calculs!L$6</f>
        <v>0.40500000000000003</v>
      </c>
    </row>
    <row r="8" spans="1:12" x14ac:dyDescent="0.2">
      <c r="A8" s="3">
        <v>4</v>
      </c>
      <c r="B8" s="4" t="str">
        <f>IF(A4=0,"",IF(A3=A8,IF(A4&lt;=5000,A4*I4,IF(A4&gt;20000,A4*L4,((A4*J4)+K4))),""))</f>
        <v/>
      </c>
      <c r="D8" s="4" t="str">
        <f>IF(A4=0,"",IF(A3=A8,IF(A4&lt;=5000,I4&amp;" )",IF(A4&gt;20000,L4&amp;" )",J4&amp;" ) + "&amp;FIXED(K4,0))),""))</f>
        <v/>
      </c>
      <c r="I8">
        <f>Calculs!I$7</f>
        <v>0</v>
      </c>
      <c r="J8">
        <f>Calculs!J$7</f>
        <v>0</v>
      </c>
      <c r="K8">
        <f>Calculs!K$7</f>
        <v>0</v>
      </c>
      <c r="L8">
        <f>Calculs!L$7</f>
        <v>0</v>
      </c>
    </row>
    <row r="9" spans="1:12" x14ac:dyDescent="0.2">
      <c r="A9" s="3">
        <v>5</v>
      </c>
      <c r="B9" s="4" t="str">
        <f>IF(A4=0,"",IF(A3=A9,IF(A4&lt;=5000,A4*I5,IF(A4&gt;20000,A4*L5,((A4*J5)+K5))),""))</f>
        <v/>
      </c>
      <c r="D9" s="4" t="str">
        <f>IF(A4=0,"",IF(A3=A9,IF(A4&lt;=5000,I5&amp;" )",IF(A4&gt;20000,L5&amp;" )",J5&amp;" ) + "&amp;FIXED(K5,0))),""))</f>
        <v/>
      </c>
      <c r="I9">
        <f>Calculs!I$8</f>
        <v>0</v>
      </c>
      <c r="J9">
        <f>Calculs!J$8</f>
        <v>0</v>
      </c>
      <c r="K9">
        <f>Calculs!K$8</f>
        <v>0</v>
      </c>
      <c r="L9">
        <f>Calculs!L$8</f>
        <v>0</v>
      </c>
    </row>
    <row r="10" spans="1:12" x14ac:dyDescent="0.2">
      <c r="A10" s="3">
        <v>6</v>
      </c>
      <c r="B10" s="4" t="str">
        <f>IF(A4=0,"",IF(A3=A10,IF(A4&lt;=5000,A4*I6,IF(A4&gt;20000,A4*L6,((A4*J6)+K6))),""))</f>
        <v/>
      </c>
      <c r="D10" s="4" t="str">
        <f>IF(A4=0,"",IF(A3=A10,IF(A4&lt;=5000,I6&amp;" )",IF(A4&gt;20000,L6&amp;" )",J6&amp;" ) + "&amp;FIXED(K6,0))),""))</f>
        <v/>
      </c>
      <c r="I10">
        <f>Calculs!I$9</f>
        <v>0</v>
      </c>
      <c r="J10">
        <f>Calculs!J$9</f>
        <v>0</v>
      </c>
      <c r="K10">
        <f>Calculs!K$9</f>
        <v>0</v>
      </c>
      <c r="L10">
        <f>Calculs!L$9</f>
        <v>0</v>
      </c>
    </row>
    <row r="11" spans="1:12" x14ac:dyDescent="0.2">
      <c r="A11" s="3">
        <v>7</v>
      </c>
      <c r="B11" s="4" t="str">
        <f>IF(A4=0,"",IF(A3=A11,IF(A4&lt;=5000,A4*I7,IF(A4&gt;20000,A4*L7,((A4*J7)+K7))),""))</f>
        <v/>
      </c>
      <c r="D11" s="4" t="str">
        <f>IF(A4=0,"",IF(A3=A11,IF(A4&lt;=5000,I7&amp;" )",IF(A4&gt;20000,L7&amp;" )",J7&amp;" ) + "&amp;FIXED(K7,0))),""))</f>
        <v/>
      </c>
      <c r="I11">
        <f>Calculs!I$10</f>
        <v>0</v>
      </c>
      <c r="J11">
        <f>Calculs!J$10</f>
        <v>0</v>
      </c>
      <c r="K11">
        <f>Calculs!K$10</f>
        <v>0</v>
      </c>
      <c r="L11">
        <f>Calculs!L$10</f>
        <v>0</v>
      </c>
    </row>
    <row r="12" spans="1:12" x14ac:dyDescent="0.2">
      <c r="A12" s="3"/>
      <c r="B12" s="4" t="str">
        <f>IF(A4=0,"",IF(A3=A12,IF(A4&lt;=5000,A4*I8,IF(A4&gt;20000,A4*L8,((A4*J8)+K8))),""))</f>
        <v/>
      </c>
      <c r="D12" s="4" t="str">
        <f>IF(A4=0,"",IF(A3=A12,IF(A4&lt;=5000,I8&amp;" )",IF(A4&gt;20000,L8&amp;" )",J8&amp;" ) + "&amp;FIXED(K8,0))),""))</f>
        <v/>
      </c>
      <c r="I12">
        <f>Calculs!I$11</f>
        <v>0</v>
      </c>
      <c r="J12">
        <f>Calculs!J$11</f>
        <v>0</v>
      </c>
      <c r="K12">
        <f>Calculs!K$11</f>
        <v>0</v>
      </c>
      <c r="L12">
        <f>Calculs!L$11</f>
        <v>0</v>
      </c>
    </row>
    <row r="13" spans="1:12" x14ac:dyDescent="0.2">
      <c r="A13" s="3"/>
      <c r="B13" s="4" t="str">
        <f>IF(A4=0,"",IF(A3=A13,IF(A4&lt;=5000,A4*I9,IF(A4&gt;20000,A4*L9,((A4*J9)+K9))),""))</f>
        <v/>
      </c>
      <c r="D13" s="4" t="str">
        <f>IF(A4=0,"",IF(A3=A13,IF(A4&lt;=5000,I9&amp;" )",IF(A4&gt;20000,L9&amp;" )",J9&amp;" ) + "&amp;FIXED(K9,0))),""))</f>
        <v/>
      </c>
      <c r="I13">
        <f>Calculs!I$12</f>
        <v>0</v>
      </c>
      <c r="J13">
        <f>Calculs!J$12</f>
        <v>0</v>
      </c>
      <c r="K13">
        <f>Calculs!K$12</f>
        <v>0</v>
      </c>
      <c r="L13">
        <f>Calculs!L$12</f>
        <v>0</v>
      </c>
    </row>
    <row r="14" spans="1:12" x14ac:dyDescent="0.2">
      <c r="A14" s="3"/>
      <c r="B14" s="4" t="str">
        <f>IF(A4=0,"",IF(A3=A14,IF(A4&lt;=5000,A4*I10,IF(A4&gt;20000,A4*L10,((A4*J10)+K10))),""))</f>
        <v/>
      </c>
      <c r="D14" s="4" t="str">
        <f>IF(A4=0,"",IF(A3=A14,IF(A4&lt;=5000,I10&amp;" )",IF(A4&gt;20000,L10&amp;" )",J10&amp;" ) + "&amp;FIXED(K10,0))),""))</f>
        <v/>
      </c>
    </row>
    <row r="15" spans="1:12" x14ac:dyDescent="0.2">
      <c r="A15" s="3"/>
      <c r="B15" s="4" t="str">
        <f>IF(A4=0,"",IF(A3=A15,IF(A4&lt;=5000,A4*I11,IF(A4&gt;20000,A4*L11,((A4*J11)+K11))),""))</f>
        <v/>
      </c>
      <c r="D15" s="4" t="str">
        <f>IF(A4=0,"",IF(A3=A15,IF(A4&lt;=5000,I11&amp;" )",IF(A4&gt;20000,L11&amp;" )",J11&amp;" ) + "&amp;FIXED(K11,0))),""))</f>
        <v/>
      </c>
    </row>
    <row r="16" spans="1:12" x14ac:dyDescent="0.2">
      <c r="A16" s="3"/>
      <c r="B16" s="4" t="str">
        <f>IF(A4=0,"",IF(A3=A16,IF(A4&lt;=5000,A4*I12,IF(A4&gt;20000,A4*L12,((A4*J12)+K12))),""))</f>
        <v/>
      </c>
      <c r="D16" s="4" t="str">
        <f>IF(A4=0,"",IF(A3=A16,IF(A4&lt;=5000,I12&amp;" )",IF(A4&gt;20000,L12&amp;" )",J12&amp;" ) + "&amp;FIXED(K12,0))),""))</f>
        <v/>
      </c>
    </row>
    <row r="17" spans="1:12" x14ac:dyDescent="0.2">
      <c r="A17" s="3"/>
      <c r="B17" s="4" t="str">
        <f>IF(A4=0,"",IF(A3=A17,IF(A4&lt;=5000,A4*I13,IF(A4&gt;20000,A4*L13,((A4*J13)+K13))),""))</f>
        <v/>
      </c>
      <c r="D17" s="4" t="str">
        <f>IF(A4=0,"",IF(A3=A17,IF(A4&lt;=5000,I13&amp;" )",IF(A4&gt;20000,L13&amp;" )",J13&amp;" ) + "&amp;FIXED(K13,0))),""))</f>
        <v/>
      </c>
    </row>
    <row r="18" spans="1:12" x14ac:dyDescent="0.2">
      <c r="A18" s="3"/>
      <c r="B18" s="4">
        <f>ROUND(SUM(B7:B17),0)</f>
        <v>0</v>
      </c>
      <c r="D18" s="2" t="str">
        <f>D7 &amp; D8 &amp; D9 &amp; D10 &amp; D11 &amp; D12 &amp; D13 &amp; D14 &amp; D15 &amp; D16 &amp; D17</f>
        <v/>
      </c>
    </row>
    <row r="19" spans="1:12" x14ac:dyDescent="0.2">
      <c r="A19" s="3"/>
      <c r="B19" s="3"/>
    </row>
    <row r="20" spans="1:12" x14ac:dyDescent="0.2">
      <c r="A20" s="3" t="s">
        <v>72</v>
      </c>
      <c r="B20" s="3"/>
    </row>
    <row r="21" spans="1:12" x14ac:dyDescent="0.2">
      <c r="A21" s="4">
        <f>SOCIETES!G16</f>
        <v>0</v>
      </c>
      <c r="B21" s="3" t="s">
        <v>17</v>
      </c>
    </row>
    <row r="22" spans="1:12" x14ac:dyDescent="0.2">
      <c r="A22" s="3" t="s">
        <v>63</v>
      </c>
      <c r="D22" s="2"/>
      <c r="G22" s="7" t="s">
        <v>63</v>
      </c>
      <c r="H22">
        <v>1</v>
      </c>
    </row>
    <row r="23" spans="1:12" ht="14.25" x14ac:dyDescent="0.2">
      <c r="A23" s="5" t="s">
        <v>18</v>
      </c>
      <c r="B23" s="3" t="str">
        <f>IF(H22=2,IF($A21&lt;=2000,A21*I23,IF($A21&gt;5000,A21*L23,(A21*J23)+K23)),"")</f>
        <v/>
      </c>
      <c r="D23" s="3" t="str">
        <f>IF(H22=2,IF($A21&lt;=2000,I23&amp;" )",IF($A21&gt;5000,L23&amp;" )",J23&amp;" ) + "&amp;K23)),"")</f>
        <v/>
      </c>
      <c r="G23" s="5" t="s">
        <v>39</v>
      </c>
      <c r="I23">
        <f>Calculs!I$33</f>
        <v>0.27200000000000002</v>
      </c>
      <c r="J23">
        <f>Calculs!J$33</f>
        <v>6.4000000000000001E-2</v>
      </c>
      <c r="K23">
        <f>Calculs!K$33</f>
        <v>416</v>
      </c>
      <c r="L23">
        <f>Calculs!L$33</f>
        <v>0.14699999999999999</v>
      </c>
    </row>
    <row r="24" spans="1:12" x14ac:dyDescent="0.2">
      <c r="A24" s="3" t="s">
        <v>59</v>
      </c>
      <c r="B24" s="3" t="str">
        <f>IF(H22=3,IF($A21&lt;=3000,A21*I24,IF($A21&gt;6000,A21*L24,(A21*J24)+K24)),"")</f>
        <v/>
      </c>
      <c r="D24" s="3" t="str">
        <f>IF(H22=3,IF($A21&lt;=3000,I24&amp;" )",IF($A21&gt;6000,L24&amp;" )",J24&amp;" ) + "&amp;K24)),"")</f>
        <v/>
      </c>
      <c r="G24" s="3" t="s">
        <v>59</v>
      </c>
      <c r="I24">
        <f>Calculs!I$34</f>
        <v>0.34100000000000003</v>
      </c>
      <c r="J24">
        <f>Calculs!J$34</f>
        <v>8.5000000000000006E-2</v>
      </c>
      <c r="K24">
        <f>Calculs!K$34</f>
        <v>768</v>
      </c>
      <c r="L24">
        <f>Calculs!L$34</f>
        <v>0.21299999999999999</v>
      </c>
    </row>
    <row r="25" spans="1:12" x14ac:dyDescent="0.2">
      <c r="A25" s="3" t="s">
        <v>20</v>
      </c>
      <c r="B25" s="3" t="str">
        <f>IF(H22=4,IF($A21&lt;=3000,A21*I25,IF($A21&gt;6000,A21*L25,(A21*J25)+K25)),"")</f>
        <v/>
      </c>
      <c r="D25" s="3" t="str">
        <f>IF(H22=4,IF($A21&lt;=3000,I25&amp;" )",IF($A21&gt;6000,L25&amp;" )",J25&amp;" ) + "&amp;FIXED(K25,0))),"")</f>
        <v/>
      </c>
      <c r="G25" s="3" t="s">
        <v>20</v>
      </c>
      <c r="I25">
        <f>Calculs!I$35</f>
        <v>0.40400000000000003</v>
      </c>
      <c r="J25">
        <f>Calculs!J$35</f>
        <v>7.0999999999999994E-2</v>
      </c>
      <c r="K25">
        <f>Calculs!K$35</f>
        <v>999</v>
      </c>
      <c r="L25">
        <f>Calculs!L$35</f>
        <v>0.23699999999999999</v>
      </c>
    </row>
    <row r="26" spans="1:12" x14ac:dyDescent="0.2">
      <c r="A26" s="3" t="s">
        <v>21</v>
      </c>
      <c r="B26" s="3" t="str">
        <f>IF(H22=5,IF($A21&lt;=3000,A21*I26,IF($A21&gt;6000,A21*L26,(A21*J26)+K26)),"")</f>
        <v/>
      </c>
      <c r="D26" s="3" t="str">
        <f>IF(H22=5,IF($A21&lt;=3000,I26&amp;" )",IF($A21&gt;6000,L26&amp;" )",J26&amp;" ) + "&amp;FIXED(K26,0))),"")</f>
        <v/>
      </c>
      <c r="G26" s="3" t="s">
        <v>21</v>
      </c>
      <c r="I26">
        <f>Calculs!I$36</f>
        <v>0.52300000000000002</v>
      </c>
      <c r="J26">
        <f>Calculs!J$36</f>
        <v>6.8000000000000005E-2</v>
      </c>
      <c r="K26">
        <f>Calculs!K$36</f>
        <v>1365</v>
      </c>
      <c r="L26">
        <f>Calculs!L$36</f>
        <v>0.29499999999999998</v>
      </c>
    </row>
    <row r="27" spans="1:12" x14ac:dyDescent="0.2">
      <c r="A27" s="3"/>
      <c r="B27" s="3">
        <f>ROUND(SUM(B23:B26),0)</f>
        <v>0</v>
      </c>
      <c r="D27" t="str">
        <f>D23 &amp; D24 &amp; D25 &amp; D26</f>
        <v/>
      </c>
    </row>
    <row r="28" spans="1:12" x14ac:dyDescent="0.2">
      <c r="A28" s="3"/>
      <c r="B28" s="6"/>
      <c r="C28" s="1"/>
      <c r="D28" s="1"/>
    </row>
    <row r="29" spans="1:12" x14ac:dyDescent="0.2">
      <c r="B29">
        <f>IF(AND(B18&lt;&gt;0,B27&lt;&gt;0),"N/C",B18+B27)</f>
        <v>0</v>
      </c>
      <c r="D29" t="str">
        <f>IF(AND(D18&lt;&gt;"",D27&lt;&gt;""),"N/C",IF(D18&lt;&gt;"",D18,D27))</f>
        <v/>
      </c>
      <c r="G29" t="str">
        <f>IF(AND(B18&lt;&gt;0,B27&lt;&gt;0),"Ne compléter que la puissance de la Voiture OU de la Moto","")</f>
        <v/>
      </c>
    </row>
    <row r="32" spans="1:12" x14ac:dyDescent="0.2">
      <c r="A32" s="3" t="s">
        <v>73</v>
      </c>
      <c r="B32" s="3"/>
      <c r="G32" s="7" t="s">
        <v>63</v>
      </c>
      <c r="H32">
        <v>1</v>
      </c>
      <c r="I32">
        <v>-5000</v>
      </c>
      <c r="J32" s="114" t="s">
        <v>29</v>
      </c>
      <c r="K32" s="114"/>
      <c r="L32">
        <v>20000</v>
      </c>
    </row>
    <row r="33" spans="1:12" x14ac:dyDescent="0.2">
      <c r="A33" s="3">
        <f>1+H32</f>
        <v>2</v>
      </c>
      <c r="B33" s="3" t="s">
        <v>9</v>
      </c>
      <c r="G33" t="s">
        <v>24</v>
      </c>
      <c r="I33">
        <f>Calculs!I$2</f>
        <v>0.45600000000000002</v>
      </c>
      <c r="J33">
        <f>Calculs!J$2</f>
        <v>0.27300000000000002</v>
      </c>
      <c r="K33">
        <f>Calculs!K$2</f>
        <v>915</v>
      </c>
      <c r="L33">
        <f>Calculs!L$2</f>
        <v>0.318</v>
      </c>
    </row>
    <row r="34" spans="1:12" x14ac:dyDescent="0.2">
      <c r="A34" s="4">
        <f>SOCIETES!G35</f>
        <v>0</v>
      </c>
      <c r="B34" s="3" t="s">
        <v>10</v>
      </c>
      <c r="G34" t="s">
        <v>25</v>
      </c>
      <c r="I34">
        <f>Calculs!I$3</f>
        <v>0.52300000000000002</v>
      </c>
      <c r="J34">
        <f>Calculs!J$3</f>
        <v>0.29399999999999998</v>
      </c>
      <c r="K34">
        <f>Calculs!K$3</f>
        <v>1147</v>
      </c>
      <c r="L34">
        <f>Calculs!L$3</f>
        <v>0.35199999999999998</v>
      </c>
    </row>
    <row r="35" spans="1:12" x14ac:dyDescent="0.2">
      <c r="A35" s="3"/>
      <c r="B35" s="3"/>
      <c r="G35" t="s">
        <v>26</v>
      </c>
      <c r="I35">
        <f>Calculs!I$4</f>
        <v>0.54800000000000004</v>
      </c>
      <c r="J35">
        <f>Calculs!J$4</f>
        <v>0.308</v>
      </c>
      <c r="K35">
        <f>Calculs!K$4</f>
        <v>1200</v>
      </c>
      <c r="L35">
        <f>Calculs!L$4</f>
        <v>0.36799999999999999</v>
      </c>
    </row>
    <row r="36" spans="1:12" x14ac:dyDescent="0.2">
      <c r="A36" s="3" t="s">
        <v>63</v>
      </c>
      <c r="B36" s="3"/>
      <c r="G36" t="s">
        <v>27</v>
      </c>
      <c r="I36">
        <f>Calculs!I$5</f>
        <v>0.57399999999999995</v>
      </c>
      <c r="J36">
        <f>Calculs!J$5</f>
        <v>0.32300000000000001</v>
      </c>
      <c r="K36">
        <f>Calculs!K$5</f>
        <v>1256</v>
      </c>
      <c r="L36">
        <f>Calculs!L$5</f>
        <v>0.38600000000000001</v>
      </c>
    </row>
    <row r="37" spans="1:12" x14ac:dyDescent="0.2">
      <c r="A37" s="3">
        <v>3</v>
      </c>
      <c r="B37" s="4" t="str">
        <f>IF(A34=0,"",IF(A33=A37,IF(A34&lt;=5000,A34*I33,IF(A34&gt;20000,A34*L33,((A34*J33)+K33))),""))</f>
        <v/>
      </c>
      <c r="D37" s="4" t="str">
        <f>IF(A34=0,"",IF(A33=A37,IF(A34&lt;=5000,I33&amp;" )",IF(A34&gt;20000,L33&amp;" )",J33&amp;" ) + "&amp;FIXED(K33,0))),""))</f>
        <v/>
      </c>
      <c r="E37" s="4"/>
      <c r="G37" t="s">
        <v>28</v>
      </c>
      <c r="I37">
        <f>Calculs!I$6</f>
        <v>0.60099999999999998</v>
      </c>
      <c r="J37">
        <f>Calculs!J$6</f>
        <v>0.34</v>
      </c>
      <c r="K37">
        <f>Calculs!K$6</f>
        <v>1301</v>
      </c>
      <c r="L37">
        <f>Calculs!L$6</f>
        <v>0.40500000000000003</v>
      </c>
    </row>
    <row r="38" spans="1:12" x14ac:dyDescent="0.2">
      <c r="A38" s="3">
        <v>4</v>
      </c>
      <c r="B38" s="4" t="str">
        <f>IF(A34=0,"",IF(A33=A38,IF(A34&lt;=5000,A34*I34,IF(A34&gt;20000,A34*L34,((A34*J34)+K34))),""))</f>
        <v/>
      </c>
      <c r="D38" s="4" t="str">
        <f>IF(A34=0,"",IF(A33=A38,IF(A34&lt;=5000,I34&amp;" )",IF(A34&gt;20000,L34&amp;" )",J34&amp;" ) + "&amp;FIXED(K34,0))),""))</f>
        <v/>
      </c>
      <c r="I38">
        <f>Calculs!I$7</f>
        <v>0</v>
      </c>
      <c r="J38">
        <f>Calculs!J$7</f>
        <v>0</v>
      </c>
      <c r="K38">
        <f>Calculs!K$7</f>
        <v>0</v>
      </c>
      <c r="L38">
        <f>Calculs!L$7</f>
        <v>0</v>
      </c>
    </row>
    <row r="39" spans="1:12" x14ac:dyDescent="0.2">
      <c r="A39" s="3">
        <v>5</v>
      </c>
      <c r="B39" s="4" t="str">
        <f>IF(A34=0,"",IF(A33=A39,IF(A34&lt;=5000,A34*I35,IF(A34&gt;20000,A34*L35,((A34*J35)+K35))),""))</f>
        <v/>
      </c>
      <c r="D39" s="4" t="str">
        <f>IF(A34=0,"",IF(A33=A39,IF(A34&lt;=5000,I35&amp;" )",IF(A34&gt;20000,L35&amp;" )",J35&amp;" ) + "&amp;FIXED(K35,0))),""))</f>
        <v/>
      </c>
      <c r="I39">
        <f>Calculs!I$8</f>
        <v>0</v>
      </c>
      <c r="J39">
        <f>Calculs!J$8</f>
        <v>0</v>
      </c>
      <c r="K39">
        <f>Calculs!K$8</f>
        <v>0</v>
      </c>
      <c r="L39">
        <f>Calculs!L$8</f>
        <v>0</v>
      </c>
    </row>
    <row r="40" spans="1:12" x14ac:dyDescent="0.2">
      <c r="A40" s="3">
        <v>6</v>
      </c>
      <c r="B40" s="4" t="str">
        <f>IF(A34=0,"",IF(A33=A40,IF(A34&lt;=5000,A34*I36,IF(A34&gt;20000,A34*L36,((A34*J36)+K36))),""))</f>
        <v/>
      </c>
      <c r="D40" s="4" t="str">
        <f>IF(A34=0,"",IF(A33=A40,IF(A34&lt;=5000,I36&amp;" )",IF(A34&gt;20000,L36&amp;" )",J36&amp;" ) + "&amp;FIXED(K36,0))),""))</f>
        <v/>
      </c>
      <c r="I40">
        <f>Calculs!I$9</f>
        <v>0</v>
      </c>
      <c r="J40">
        <f>Calculs!J$9</f>
        <v>0</v>
      </c>
      <c r="K40">
        <f>Calculs!K$9</f>
        <v>0</v>
      </c>
      <c r="L40">
        <f>Calculs!L$9</f>
        <v>0</v>
      </c>
    </row>
    <row r="41" spans="1:12" x14ac:dyDescent="0.2">
      <c r="A41" s="3">
        <v>7</v>
      </c>
      <c r="B41" s="4" t="str">
        <f>IF(A34=0,"",IF(A33=A41,IF(A34&lt;=5000,A34*I37,IF(A34&gt;20000,A34*L37,((A34*J37)+K37))),""))</f>
        <v/>
      </c>
      <c r="D41" s="4" t="str">
        <f>IF(A34=0,"",IF(A33=A41,IF(A34&lt;=5000,I37&amp;" )",IF(A34&gt;20000,L37&amp;" )",J37&amp;" ) + "&amp;FIXED(K37,0))),""))</f>
        <v/>
      </c>
      <c r="I41">
        <f>Calculs!I$10</f>
        <v>0</v>
      </c>
      <c r="J41">
        <f>Calculs!J$10</f>
        <v>0</v>
      </c>
      <c r="K41">
        <f>Calculs!K$10</f>
        <v>0</v>
      </c>
      <c r="L41">
        <f>Calculs!L$10</f>
        <v>0</v>
      </c>
    </row>
    <row r="42" spans="1:12" x14ac:dyDescent="0.2">
      <c r="A42" s="3"/>
      <c r="B42" s="4" t="str">
        <f>IF(A34=0,"",IF(A33=A42,IF(A34&lt;=5000,A34*I38,IF(A34&gt;20000,A34*L38,((A34*J38)+K38))),""))</f>
        <v/>
      </c>
      <c r="D42" s="4" t="str">
        <f>IF(A34=0,"",IF(A33=A42,IF(A34&lt;=5000,I38&amp;" )",IF(A34&gt;20000,L38&amp;" )",J38&amp;" ) + "&amp;FIXED(K38,0))),""))</f>
        <v/>
      </c>
      <c r="I42">
        <f>Calculs!I$11</f>
        <v>0</v>
      </c>
      <c r="J42">
        <f>Calculs!J$11</f>
        <v>0</v>
      </c>
      <c r="K42">
        <f>Calculs!K$11</f>
        <v>0</v>
      </c>
      <c r="L42">
        <f>Calculs!L$11</f>
        <v>0</v>
      </c>
    </row>
    <row r="43" spans="1:12" x14ac:dyDescent="0.2">
      <c r="A43" s="3"/>
      <c r="B43" s="4" t="str">
        <f>IF(A34=0,"",IF(A33=A43,IF(A34&lt;=5000,A34*I39,IF(A34&gt;20000,A34*L39,((A34*J39)+K39))),""))</f>
        <v/>
      </c>
      <c r="D43" s="4" t="str">
        <f>IF(A34=0,"",IF(A33=A43,IF(A34&lt;=5000,I39&amp;" )",IF(A34&gt;20000,L39&amp;" )",J39&amp;" ) + "&amp;FIXED(K39,0))),""))</f>
        <v/>
      </c>
      <c r="I43">
        <f>Calculs!I$12</f>
        <v>0</v>
      </c>
      <c r="J43">
        <f>Calculs!J$12</f>
        <v>0</v>
      </c>
      <c r="K43">
        <f>Calculs!K$12</f>
        <v>0</v>
      </c>
      <c r="L43">
        <f>Calculs!L$12</f>
        <v>0</v>
      </c>
    </row>
    <row r="44" spans="1:12" x14ac:dyDescent="0.2">
      <c r="A44" s="3"/>
      <c r="B44" s="4" t="str">
        <f>IF(A34=0,"",IF(A33=A44,IF(A34&lt;=5000,A34*I40,IF(A34&gt;20000,A34*L40,((A34*J40)+K40))),""))</f>
        <v/>
      </c>
      <c r="D44" s="4" t="str">
        <f>IF(A34=0,"",IF(A33=A44,IF(A34&lt;=5000,I40&amp;" )",IF(A34&gt;20000,L40&amp;" )",J40&amp;" ) + "&amp;FIXED(K40,0))),""))</f>
        <v/>
      </c>
    </row>
    <row r="45" spans="1:12" x14ac:dyDescent="0.2">
      <c r="A45" s="3"/>
      <c r="B45" s="4" t="str">
        <f>IF(A34=0,"",IF(A33=A45,IF(A34&lt;=5000,A34*I41,IF(A34&gt;20000,A34*L41,((A34*J41)+K41))),""))</f>
        <v/>
      </c>
      <c r="D45" s="4" t="str">
        <f>IF(A34=0,"",IF(A33=A45,IF(A34&lt;=5000,I41&amp;" )",IF(A34&gt;20000,L41&amp;" )",J41&amp;" ) + "&amp;FIXED(K41,0))),""))</f>
        <v/>
      </c>
    </row>
    <row r="46" spans="1:12" x14ac:dyDescent="0.2">
      <c r="A46" s="3"/>
      <c r="B46" s="4" t="str">
        <f>IF(A34=0,"",IF(A33=A46,IF(A34&lt;=5000,A34*I42,IF(A34&gt;20000,A34*L42,((A34*J42)+K42))),""))</f>
        <v/>
      </c>
      <c r="D46" s="4" t="str">
        <f>IF(A34=0,"",IF(A33=A46,IF(A34&lt;=5000,I42&amp;" )",IF(A34&gt;20000,L42&amp;" )",J42&amp;" ) + "&amp;FIXED(K42,0))),""))</f>
        <v/>
      </c>
    </row>
    <row r="47" spans="1:12" x14ac:dyDescent="0.2">
      <c r="A47" s="3"/>
      <c r="B47" s="4" t="str">
        <f>IF(A34=0,"",IF(A33=A47,IF(A34&lt;=5000,A34*I43,IF(A34&gt;20000,A34*L43,((A34*J43)+K43))),""))</f>
        <v/>
      </c>
      <c r="D47" s="4" t="str">
        <f>IF(A34=0,"",IF(A33=A47,IF(A34&lt;=5000,I43&amp;" )",IF(A34&gt;20000,L43&amp;" )",J43&amp;" ) + "&amp;FIXED(K43,0))),""))</f>
        <v/>
      </c>
    </row>
    <row r="48" spans="1:12" x14ac:dyDescent="0.2">
      <c r="A48" s="3"/>
      <c r="B48" s="4">
        <f>ROUND(SUM(B37:B47),0)</f>
        <v>0</v>
      </c>
      <c r="D48" s="2" t="str">
        <f>D37 &amp; D38 &amp; D39 &amp; D40 &amp; D41 &amp; D42 &amp; D43 &amp; D44 &amp; D45 &amp; D46 &amp; D47</f>
        <v/>
      </c>
    </row>
    <row r="49" spans="1:12" x14ac:dyDescent="0.2">
      <c r="A49" s="3"/>
      <c r="B49" s="3"/>
    </row>
    <row r="50" spans="1:12" x14ac:dyDescent="0.2">
      <c r="A50" s="3" t="s">
        <v>74</v>
      </c>
      <c r="B50" s="3"/>
    </row>
    <row r="51" spans="1:12" x14ac:dyDescent="0.2">
      <c r="A51" s="4">
        <f>A34</f>
        <v>0</v>
      </c>
      <c r="B51" s="3" t="s">
        <v>17</v>
      </c>
    </row>
    <row r="52" spans="1:12" x14ac:dyDescent="0.2">
      <c r="A52" s="3" t="s">
        <v>63</v>
      </c>
      <c r="D52" s="2"/>
      <c r="G52" s="7" t="s">
        <v>63</v>
      </c>
      <c r="H52">
        <v>1</v>
      </c>
    </row>
    <row r="53" spans="1:12" ht="14.25" x14ac:dyDescent="0.2">
      <c r="A53" s="5" t="s">
        <v>18</v>
      </c>
      <c r="B53" s="3" t="str">
        <f>IF(H52=2,IF($A51&lt;=2000,A51*I53,IF($A51&gt;5000,A51*L53,(A51*J53)+K53)),"")</f>
        <v/>
      </c>
      <c r="D53" s="3" t="str">
        <f>IF(H52=2,IF($A51&lt;=2000,I53&amp;" )",IF($A51&gt;5000,L53&amp;" )",J53&amp;" ) + "&amp;K53)),"")</f>
        <v/>
      </c>
      <c r="G53" s="5" t="s">
        <v>39</v>
      </c>
      <c r="I53">
        <f>Calculs!I$33</f>
        <v>0.27200000000000002</v>
      </c>
      <c r="J53">
        <f>Calculs!J$33</f>
        <v>6.4000000000000001E-2</v>
      </c>
      <c r="K53">
        <f>Calculs!K$33</f>
        <v>416</v>
      </c>
      <c r="L53">
        <f>Calculs!L$33</f>
        <v>0.14699999999999999</v>
      </c>
    </row>
    <row r="54" spans="1:12" x14ac:dyDescent="0.2">
      <c r="A54" s="3" t="s">
        <v>59</v>
      </c>
      <c r="B54" s="3" t="str">
        <f>IF(H52=3,IF($A51&lt;=3000,A51*I54,IF($A51&gt;6000,A51*L54,(A51*J54)+K54)),"")</f>
        <v/>
      </c>
      <c r="D54" s="3" t="str">
        <f>IF(H52=3,IF($A51&lt;=3000,I54&amp;" )",IF($A51&gt;6000,L54&amp;" )",J54&amp;" ) + "&amp;K54)),"")</f>
        <v/>
      </c>
      <c r="G54" s="3" t="s">
        <v>59</v>
      </c>
      <c r="I54">
        <f>Calculs!I$34</f>
        <v>0.34100000000000003</v>
      </c>
      <c r="J54">
        <f>Calculs!J$34</f>
        <v>8.5000000000000006E-2</v>
      </c>
      <c r="K54">
        <f>Calculs!K$34</f>
        <v>768</v>
      </c>
      <c r="L54">
        <f>Calculs!L$34</f>
        <v>0.21299999999999999</v>
      </c>
    </row>
    <row r="55" spans="1:12" x14ac:dyDescent="0.2">
      <c r="A55" s="3" t="s">
        <v>20</v>
      </c>
      <c r="B55" s="3" t="str">
        <f>IF(H52=4,IF($A51&lt;=3000,A51*I55,IF($A51&gt;6000,A51*L55,(A51*J55)+K55)),"")</f>
        <v/>
      </c>
      <c r="D55" s="3" t="str">
        <f>IF(H52=4,IF($A51&lt;=3000,I55&amp;" )",IF($A51&gt;6000,L55&amp;" )",J55&amp;" ) + "&amp;FIXED(K55,0))),"")</f>
        <v/>
      </c>
      <c r="G55" s="3" t="s">
        <v>20</v>
      </c>
      <c r="I55">
        <f>Calculs!I$35</f>
        <v>0.40400000000000003</v>
      </c>
      <c r="J55">
        <f>Calculs!J$35</f>
        <v>7.0999999999999994E-2</v>
      </c>
      <c r="K55">
        <f>Calculs!K$35</f>
        <v>999</v>
      </c>
      <c r="L55">
        <f>Calculs!L$35</f>
        <v>0.23699999999999999</v>
      </c>
    </row>
    <row r="56" spans="1:12" x14ac:dyDescent="0.2">
      <c r="A56" s="3" t="s">
        <v>21</v>
      </c>
      <c r="B56" s="3" t="str">
        <f>IF(H52=5,IF($A51&lt;=3000,A51*I56,IF($A51&gt;6000,A51*L56,(A51*J56)+K56)),"")</f>
        <v/>
      </c>
      <c r="D56" s="3" t="str">
        <f>IF(H52=5,IF($A51&lt;=3000,I56&amp;" )",IF($A51&gt;6000,L56&amp;" )",J56&amp;" ) + "&amp;FIXED(K56,0))),"")</f>
        <v/>
      </c>
      <c r="G56" s="3" t="s">
        <v>21</v>
      </c>
      <c r="I56">
        <f>Calculs!I$36</f>
        <v>0.52300000000000002</v>
      </c>
      <c r="J56">
        <f>Calculs!J$36</f>
        <v>6.8000000000000005E-2</v>
      </c>
      <c r="K56">
        <f>Calculs!K$36</f>
        <v>1365</v>
      </c>
      <c r="L56">
        <f>Calculs!L$36</f>
        <v>0.29499999999999998</v>
      </c>
    </row>
    <row r="57" spans="1:12" x14ac:dyDescent="0.2">
      <c r="A57" s="3"/>
      <c r="B57" s="3">
        <f>ROUND(SUM(B53:B56),0)</f>
        <v>0</v>
      </c>
      <c r="D57" t="str">
        <f>D53 &amp; D54 &amp; D55 &amp; D56</f>
        <v/>
      </c>
    </row>
    <row r="58" spans="1:12" x14ac:dyDescent="0.2">
      <c r="A58" s="3"/>
      <c r="B58" s="6"/>
      <c r="C58" s="1"/>
      <c r="D58" s="1"/>
    </row>
    <row r="59" spans="1:12" x14ac:dyDescent="0.2">
      <c r="B59">
        <f>IF(AND(B48&lt;&gt;0,B57&lt;&gt;0),"N/C",B48+B57)</f>
        <v>0</v>
      </c>
      <c r="D59" t="str">
        <f>IF(AND(D48&lt;&gt;"",D57&lt;&gt;""),"N/C",IF(D48&lt;&gt;"",D48,D57))</f>
        <v/>
      </c>
      <c r="G59" t="str">
        <f>IF(AND(B48&lt;&gt;0,B57&lt;&gt;0),"Ne compléter que la puissance de la Voiture OU de la Moto","")</f>
        <v/>
      </c>
    </row>
    <row r="62" spans="1:12" x14ac:dyDescent="0.2">
      <c r="A62" s="3" t="s">
        <v>75</v>
      </c>
      <c r="B62" s="3"/>
      <c r="G62" s="7" t="s">
        <v>63</v>
      </c>
      <c r="H62">
        <v>1</v>
      </c>
      <c r="I62">
        <v>-5000</v>
      </c>
      <c r="J62" s="114" t="s">
        <v>29</v>
      </c>
      <c r="K62" s="114"/>
      <c r="L62">
        <v>20000</v>
      </c>
    </row>
    <row r="63" spans="1:12" x14ac:dyDescent="0.2">
      <c r="A63" s="3">
        <f>1+H62</f>
        <v>2</v>
      </c>
      <c r="B63" s="3" t="s">
        <v>9</v>
      </c>
      <c r="G63" t="s">
        <v>24</v>
      </c>
      <c r="I63">
        <f>Calculs!I$2</f>
        <v>0.45600000000000002</v>
      </c>
      <c r="J63">
        <f>Calculs!J$2</f>
        <v>0.27300000000000002</v>
      </c>
      <c r="K63">
        <f>Calculs!K$2</f>
        <v>915</v>
      </c>
      <c r="L63">
        <f>Calculs!L$2</f>
        <v>0.318</v>
      </c>
    </row>
    <row r="64" spans="1:12" x14ac:dyDescent="0.2">
      <c r="A64" s="4">
        <f>SOCIETES!G54</f>
        <v>0</v>
      </c>
      <c r="B64" s="3" t="s">
        <v>10</v>
      </c>
      <c r="G64" t="s">
        <v>25</v>
      </c>
      <c r="I64">
        <f>Calculs!I$3</f>
        <v>0.52300000000000002</v>
      </c>
      <c r="J64">
        <f>Calculs!J$3</f>
        <v>0.29399999999999998</v>
      </c>
      <c r="K64">
        <f>Calculs!K$3</f>
        <v>1147</v>
      </c>
      <c r="L64">
        <f>Calculs!L$3</f>
        <v>0.35199999999999998</v>
      </c>
    </row>
    <row r="65" spans="1:12" x14ac:dyDescent="0.2">
      <c r="A65" s="3"/>
      <c r="B65" s="3"/>
      <c r="G65" t="s">
        <v>26</v>
      </c>
      <c r="I65">
        <f>Calculs!I$4</f>
        <v>0.54800000000000004</v>
      </c>
      <c r="J65">
        <f>Calculs!J$4</f>
        <v>0.308</v>
      </c>
      <c r="K65">
        <f>Calculs!K$4</f>
        <v>1200</v>
      </c>
      <c r="L65">
        <f>Calculs!L$4</f>
        <v>0.36799999999999999</v>
      </c>
    </row>
    <row r="66" spans="1:12" x14ac:dyDescent="0.2">
      <c r="A66" s="3" t="s">
        <v>63</v>
      </c>
      <c r="B66" s="3"/>
      <c r="G66" t="s">
        <v>27</v>
      </c>
      <c r="I66">
        <f>Calculs!I$5</f>
        <v>0.57399999999999995</v>
      </c>
      <c r="J66">
        <f>Calculs!J$5</f>
        <v>0.32300000000000001</v>
      </c>
      <c r="K66">
        <f>Calculs!K$5</f>
        <v>1256</v>
      </c>
      <c r="L66">
        <f>Calculs!L$5</f>
        <v>0.38600000000000001</v>
      </c>
    </row>
    <row r="67" spans="1:12" x14ac:dyDescent="0.2">
      <c r="A67" s="3">
        <v>3</v>
      </c>
      <c r="B67" s="4" t="str">
        <f>IF(A64=0,"",IF(A63=A67,IF(A64&lt;=5000,A64*I63,IF(A64&gt;20000,A64*L63,((A64*J63)+K63))),""))</f>
        <v/>
      </c>
      <c r="D67" s="4" t="str">
        <f>IF(A64=0,"",IF(A63=A67,IF(A64&lt;=5000,I63&amp;" )",IF(A64&gt;20000,L63&amp;" )",J63&amp;" ) + "&amp;FIXED(K63,0))),""))</f>
        <v/>
      </c>
      <c r="E67" s="4"/>
      <c r="G67" t="s">
        <v>28</v>
      </c>
      <c r="I67">
        <f>Calculs!I$6</f>
        <v>0.60099999999999998</v>
      </c>
      <c r="J67">
        <f>Calculs!J$6</f>
        <v>0.34</v>
      </c>
      <c r="K67">
        <f>Calculs!K$6</f>
        <v>1301</v>
      </c>
      <c r="L67">
        <f>Calculs!L$6</f>
        <v>0.40500000000000003</v>
      </c>
    </row>
    <row r="68" spans="1:12" x14ac:dyDescent="0.2">
      <c r="A68" s="3">
        <v>4</v>
      </c>
      <c r="B68" s="4" t="str">
        <f>IF(A64=0,"",IF(A63=A68,IF(A64&lt;=5000,A64*I64,IF(A64&gt;20000,A64*L64,((A64*J64)+K64))),""))</f>
        <v/>
      </c>
      <c r="D68" s="4" t="str">
        <f>IF(A64=0,"",IF(A63=A68,IF(A64&lt;=5000,I64&amp;" )",IF(A64&gt;20000,L64&amp;" )",J64&amp;" ) + "&amp;FIXED(K64,0))),""))</f>
        <v/>
      </c>
      <c r="I68">
        <f>Calculs!I$7</f>
        <v>0</v>
      </c>
      <c r="J68">
        <f>Calculs!J$7</f>
        <v>0</v>
      </c>
      <c r="K68">
        <f>Calculs!K$7</f>
        <v>0</v>
      </c>
      <c r="L68">
        <f>Calculs!L$7</f>
        <v>0</v>
      </c>
    </row>
    <row r="69" spans="1:12" x14ac:dyDescent="0.2">
      <c r="A69" s="3">
        <v>5</v>
      </c>
      <c r="B69" s="4" t="str">
        <f>IF(A64=0,"",IF(A63=A69,IF(A64&lt;=5000,A64*I65,IF(A64&gt;20000,A64*L65,((A64*J65)+K65))),""))</f>
        <v/>
      </c>
      <c r="D69" s="4" t="str">
        <f>IF(A64=0,"",IF(A63=A69,IF(A64&lt;=5000,I65&amp;" )",IF(A64&gt;20000,L65&amp;" )",J65&amp;" ) + "&amp;FIXED(K65,0))),""))</f>
        <v/>
      </c>
      <c r="I69">
        <f>Calculs!I$8</f>
        <v>0</v>
      </c>
      <c r="J69">
        <f>Calculs!J$8</f>
        <v>0</v>
      </c>
      <c r="K69">
        <f>Calculs!K$8</f>
        <v>0</v>
      </c>
      <c r="L69">
        <f>Calculs!L$8</f>
        <v>0</v>
      </c>
    </row>
    <row r="70" spans="1:12" x14ac:dyDescent="0.2">
      <c r="A70" s="3">
        <v>6</v>
      </c>
      <c r="B70" s="4" t="str">
        <f>IF(A64=0,"",IF(A63=A70,IF(A64&lt;=5000,A64*I66,IF(A64&gt;20000,A64*L66,((A64*J66)+K66))),""))</f>
        <v/>
      </c>
      <c r="D70" s="4" t="str">
        <f>IF(A64=0,"",IF(A63=A70,IF(A64&lt;=5000,I66&amp;" )",IF(A64&gt;20000,L66&amp;" )",J66&amp;" ) + "&amp;FIXED(K66,0))),""))</f>
        <v/>
      </c>
      <c r="I70">
        <f>Calculs!I$9</f>
        <v>0</v>
      </c>
      <c r="J70">
        <f>Calculs!J$9</f>
        <v>0</v>
      </c>
      <c r="K70">
        <f>Calculs!K$9</f>
        <v>0</v>
      </c>
      <c r="L70">
        <f>Calculs!L$9</f>
        <v>0</v>
      </c>
    </row>
    <row r="71" spans="1:12" x14ac:dyDescent="0.2">
      <c r="A71" s="3">
        <v>7</v>
      </c>
      <c r="B71" s="4" t="str">
        <f>IF(A64=0,"",IF(A63=A71,IF(A64&lt;=5000,A64*I67,IF(A64&gt;20000,A64*L67,((A64*J67)+K67))),""))</f>
        <v/>
      </c>
      <c r="D71" s="4" t="str">
        <f>IF(A64=0,"",IF(A63=A71,IF(A64&lt;=5000,I67&amp;" )",IF(A64&gt;20000,L67&amp;" )",J67&amp;" ) + "&amp;FIXED(K67,0))),""))</f>
        <v/>
      </c>
      <c r="I71">
        <f>Calculs!I$10</f>
        <v>0</v>
      </c>
      <c r="J71">
        <f>Calculs!J$10</f>
        <v>0</v>
      </c>
      <c r="K71">
        <f>Calculs!K$10</f>
        <v>0</v>
      </c>
      <c r="L71">
        <f>Calculs!L$10</f>
        <v>0</v>
      </c>
    </row>
    <row r="72" spans="1:12" x14ac:dyDescent="0.2">
      <c r="A72" s="3"/>
      <c r="B72" s="4" t="str">
        <f>IF(A64=0,"",IF(A63=A72,IF(A64&lt;=5000,A64*I68,IF(A64&gt;20000,A64*L68,((A64*J68)+K68))),""))</f>
        <v/>
      </c>
      <c r="D72" s="4" t="str">
        <f>IF(A64=0,"",IF(A63=A72,IF(A64&lt;=5000,I68&amp;" )",IF(A64&gt;20000,L68&amp;" )",J68&amp;" ) + "&amp;FIXED(K68,0))),""))</f>
        <v/>
      </c>
      <c r="I72">
        <f>Calculs!I$11</f>
        <v>0</v>
      </c>
      <c r="J72">
        <f>Calculs!J$11</f>
        <v>0</v>
      </c>
      <c r="K72">
        <f>Calculs!K$11</f>
        <v>0</v>
      </c>
      <c r="L72">
        <f>Calculs!L$11</f>
        <v>0</v>
      </c>
    </row>
    <row r="73" spans="1:12" x14ac:dyDescent="0.2">
      <c r="A73" s="3"/>
      <c r="B73" s="4" t="str">
        <f>IF(A64=0,"",IF(A63=A73,IF(A64&lt;=5000,A64*I69,IF(A64&gt;20000,A64*L69,((A64*J69)+K69))),""))</f>
        <v/>
      </c>
      <c r="D73" s="4" t="str">
        <f>IF(A64=0,"",IF(A63=A73,IF(A64&lt;=5000,I69&amp;" )",IF(A64&gt;20000,L69&amp;" )",J69&amp;" ) + "&amp;FIXED(K69,0))),""))</f>
        <v/>
      </c>
      <c r="I73">
        <f>Calculs!I$12</f>
        <v>0</v>
      </c>
      <c r="J73">
        <f>Calculs!J$12</f>
        <v>0</v>
      </c>
      <c r="K73">
        <f>Calculs!K$12</f>
        <v>0</v>
      </c>
      <c r="L73">
        <f>Calculs!L$12</f>
        <v>0</v>
      </c>
    </row>
    <row r="74" spans="1:12" x14ac:dyDescent="0.2">
      <c r="A74" s="3"/>
      <c r="B74" s="4" t="str">
        <f>IF(A64=0,"",IF(A63=A74,IF(A64&lt;=5000,A64*I70,IF(A64&gt;20000,A64*L70,((A64*J70)+K70))),""))</f>
        <v/>
      </c>
      <c r="D74" s="4" t="str">
        <f>IF(A64=0,"",IF(A63=A74,IF(A64&lt;=5000,I70&amp;" )",IF(A64&gt;20000,L70&amp;" )",J70&amp;" ) + "&amp;FIXED(K70,0))),""))</f>
        <v/>
      </c>
    </row>
    <row r="75" spans="1:12" x14ac:dyDescent="0.2">
      <c r="A75" s="3"/>
      <c r="B75" s="4" t="str">
        <f>IF(A64=0,"",IF(A63=A75,IF(A64&lt;=5000,A64*I71,IF(A64&gt;20000,A64*L71,((A64*J71)+K71))),""))</f>
        <v/>
      </c>
      <c r="D75" s="4" t="str">
        <f>IF(A64=0,"",IF(A63=A75,IF(A64&lt;=5000,I71&amp;" )",IF(A64&gt;20000,L71&amp;" )",J71&amp;" ) + "&amp;FIXED(K71,0))),""))</f>
        <v/>
      </c>
    </row>
    <row r="76" spans="1:12" x14ac:dyDescent="0.2">
      <c r="A76" s="3"/>
      <c r="B76" s="4" t="str">
        <f>IF(A64=0,"",IF(A63=A76,IF(A64&lt;=5000,A64*I72,IF(A64&gt;20000,A64*L72,((A64*J72)+K72))),""))</f>
        <v/>
      </c>
      <c r="D76" s="4" t="str">
        <f>IF(A64=0,"",IF(A63=A76,IF(A64&lt;=5000,I72&amp;" )",IF(A64&gt;20000,L72&amp;" )",J72&amp;" ) + "&amp;FIXED(K72,0))),""))</f>
        <v/>
      </c>
    </row>
    <row r="77" spans="1:12" x14ac:dyDescent="0.2">
      <c r="A77" s="3"/>
      <c r="B77" s="4" t="str">
        <f>IF(A64=0,"",IF(A63=A77,IF(A64&lt;=5000,A64*I73,IF(A64&gt;20000,A64*L73,((A64*J73)+K73))),""))</f>
        <v/>
      </c>
      <c r="D77" s="4" t="str">
        <f>IF(A64=0,"",IF(A63=A77,IF(A64&lt;=5000,I73&amp;" )",IF(A64&gt;20000,L73&amp;" )",J73&amp;" ) + "&amp;FIXED(K73,0))),""))</f>
        <v/>
      </c>
    </row>
    <row r="78" spans="1:12" x14ac:dyDescent="0.2">
      <c r="A78" s="3"/>
      <c r="B78" s="4">
        <f>ROUND(SUM(B67:B77),0)</f>
        <v>0</v>
      </c>
      <c r="D78" s="2" t="str">
        <f>D67 &amp; D68 &amp; D69 &amp; D70 &amp; D71 &amp; D72 &amp; D73 &amp; D74 &amp; D75 &amp; D76 &amp; D77</f>
        <v/>
      </c>
    </row>
    <row r="79" spans="1:12" x14ac:dyDescent="0.2">
      <c r="A79" s="3"/>
      <c r="B79" s="3"/>
    </row>
    <row r="80" spans="1:12" x14ac:dyDescent="0.2">
      <c r="A80" s="3" t="s">
        <v>76</v>
      </c>
      <c r="B80" s="3"/>
    </row>
    <row r="81" spans="1:12" x14ac:dyDescent="0.2">
      <c r="A81" s="4">
        <f>A64</f>
        <v>0</v>
      </c>
      <c r="B81" s="3" t="s">
        <v>17</v>
      </c>
    </row>
    <row r="82" spans="1:12" x14ac:dyDescent="0.2">
      <c r="A82" s="3" t="s">
        <v>63</v>
      </c>
      <c r="D82" s="2"/>
      <c r="G82" s="7" t="s">
        <v>63</v>
      </c>
      <c r="H82">
        <v>1</v>
      </c>
    </row>
    <row r="83" spans="1:12" ht="14.25" x14ac:dyDescent="0.2">
      <c r="A83" s="5" t="s">
        <v>18</v>
      </c>
      <c r="B83" s="3" t="str">
        <f>IF(H82=2,IF($A81&lt;=2000,A81*I83,IF($A81&gt;5000,A81*L83,(A81*J83)+K83)),"")</f>
        <v/>
      </c>
      <c r="D83" s="3" t="str">
        <f>IF(H82=2,IF($A81&lt;=2000,I83&amp;" )",IF($A81&gt;5000,L83&amp;" )",J83&amp;" ) + "&amp;K83)),"")</f>
        <v/>
      </c>
      <c r="G83" s="5" t="s">
        <v>39</v>
      </c>
      <c r="I83">
        <f>Calculs!I$33</f>
        <v>0.27200000000000002</v>
      </c>
      <c r="J83">
        <f>Calculs!J$33</f>
        <v>6.4000000000000001E-2</v>
      </c>
      <c r="K83">
        <f>Calculs!K$33</f>
        <v>416</v>
      </c>
      <c r="L83">
        <f>Calculs!L$33</f>
        <v>0.14699999999999999</v>
      </c>
    </row>
    <row r="84" spans="1:12" x14ac:dyDescent="0.2">
      <c r="A84" s="3" t="s">
        <v>59</v>
      </c>
      <c r="B84" s="3" t="str">
        <f>IF(H82=3,IF($A81&lt;=3000,A81*I84,IF($A81&gt;6000,A81*L84,(A81*J84)+K84)),"")</f>
        <v/>
      </c>
      <c r="D84" s="3" t="str">
        <f>IF(H82=3,IF($A81&lt;=3000,I84&amp;" )",IF($A81&gt;6000,L84&amp;" )",J84&amp;" ) + "&amp;K84)),"")</f>
        <v/>
      </c>
      <c r="G84" s="3" t="s">
        <v>59</v>
      </c>
      <c r="I84">
        <f>Calculs!I$34</f>
        <v>0.34100000000000003</v>
      </c>
      <c r="J84">
        <f>Calculs!J$34</f>
        <v>8.5000000000000006E-2</v>
      </c>
      <c r="K84">
        <f>Calculs!K$34</f>
        <v>768</v>
      </c>
      <c r="L84">
        <f>Calculs!L$34</f>
        <v>0.21299999999999999</v>
      </c>
    </row>
    <row r="85" spans="1:12" x14ac:dyDescent="0.2">
      <c r="A85" s="3" t="s">
        <v>20</v>
      </c>
      <c r="B85" s="3" t="str">
        <f>IF(H82=4,IF($A81&lt;=3000,A81*I85,IF($A81&gt;6000,A81*L85,(A81*J85)+K85)),"")</f>
        <v/>
      </c>
      <c r="D85" s="3" t="str">
        <f>IF(H82=4,IF($A81&lt;=3000,I85&amp;" )",IF($A81&gt;6000,L85&amp;" )",J85&amp;" ) + "&amp;FIXED(K85,0))),"")</f>
        <v/>
      </c>
      <c r="G85" s="3" t="s">
        <v>20</v>
      </c>
      <c r="I85">
        <f>Calculs!I$35</f>
        <v>0.40400000000000003</v>
      </c>
      <c r="J85">
        <f>Calculs!J$35</f>
        <v>7.0999999999999994E-2</v>
      </c>
      <c r="K85">
        <f>Calculs!K$35</f>
        <v>999</v>
      </c>
      <c r="L85">
        <f>Calculs!L$35</f>
        <v>0.23699999999999999</v>
      </c>
    </row>
    <row r="86" spans="1:12" x14ac:dyDescent="0.2">
      <c r="A86" s="3" t="s">
        <v>21</v>
      </c>
      <c r="B86" s="3" t="str">
        <f>IF(H82=5,IF($A81&lt;=3000,A81*I86,IF($A81&gt;6000,A81*L86,(A81*J86)+K86)),"")</f>
        <v/>
      </c>
      <c r="D86" s="3" t="str">
        <f>IF(H82=5,IF($A81&lt;=3000,I86&amp;" )",IF($A81&gt;6000,L86&amp;" )",J86&amp;" ) + "&amp;FIXED(K86,0))),"")</f>
        <v/>
      </c>
      <c r="G86" s="3" t="s">
        <v>21</v>
      </c>
      <c r="I86">
        <f>Calculs!I$36</f>
        <v>0.52300000000000002</v>
      </c>
      <c r="J86">
        <f>Calculs!J$36</f>
        <v>6.8000000000000005E-2</v>
      </c>
      <c r="K86">
        <f>Calculs!K$36</f>
        <v>1365</v>
      </c>
      <c r="L86">
        <f>Calculs!L$36</f>
        <v>0.29499999999999998</v>
      </c>
    </row>
    <row r="87" spans="1:12" x14ac:dyDescent="0.2">
      <c r="A87" s="3"/>
      <c r="B87" s="3">
        <f>ROUND(SUM(B83:B86),0)</f>
        <v>0</v>
      </c>
      <c r="D87" t="str">
        <f>D83 &amp; D84 &amp; D85 &amp; D86</f>
        <v/>
      </c>
    </row>
    <row r="88" spans="1:12" x14ac:dyDescent="0.2">
      <c r="A88" s="3"/>
      <c r="B88" s="6"/>
      <c r="C88" s="1"/>
      <c r="D88" s="1"/>
    </row>
    <row r="89" spans="1:12" x14ac:dyDescent="0.2">
      <c r="B89">
        <f>IF(AND(B78&lt;&gt;0,B87&lt;&gt;0),"N/C",B78+B87)</f>
        <v>0</v>
      </c>
      <c r="D89" t="str">
        <f>IF(AND(D78&lt;&gt;"",D87&lt;&gt;""),"N/C",IF(D78&lt;&gt;"",D78,D87))</f>
        <v/>
      </c>
      <c r="G89" t="str">
        <f>IF(AND(B78&lt;&gt;0,B87&lt;&gt;0),"Ne compléter que la puissance de la Voiture OU de la Moto","")</f>
        <v/>
      </c>
    </row>
    <row r="92" spans="1:12" x14ac:dyDescent="0.2">
      <c r="A92" s="3" t="s">
        <v>77</v>
      </c>
      <c r="B92" s="3"/>
      <c r="G92" s="7" t="s">
        <v>63</v>
      </c>
      <c r="H92">
        <v>1</v>
      </c>
      <c r="I92">
        <v>-5000</v>
      </c>
      <c r="J92" s="114" t="s">
        <v>29</v>
      </c>
      <c r="K92" s="114"/>
      <c r="L92">
        <v>20000</v>
      </c>
    </row>
    <row r="93" spans="1:12" x14ac:dyDescent="0.2">
      <c r="A93" s="3">
        <f>1+H92</f>
        <v>2</v>
      </c>
      <c r="B93" s="3" t="s">
        <v>9</v>
      </c>
      <c r="G93" t="s">
        <v>24</v>
      </c>
      <c r="I93">
        <f>Calculs!I$2</f>
        <v>0.45600000000000002</v>
      </c>
      <c r="J93">
        <f>Calculs!J$2</f>
        <v>0.27300000000000002</v>
      </c>
      <c r="K93">
        <f>Calculs!K$2</f>
        <v>915</v>
      </c>
      <c r="L93">
        <f>Calculs!L$2</f>
        <v>0.318</v>
      </c>
    </row>
    <row r="94" spans="1:12" x14ac:dyDescent="0.2">
      <c r="A94" s="4">
        <f>SOCIETES!G73</f>
        <v>0</v>
      </c>
      <c r="B94" s="3" t="s">
        <v>10</v>
      </c>
      <c r="G94" t="s">
        <v>25</v>
      </c>
      <c r="I94">
        <f>Calculs!I$3</f>
        <v>0.52300000000000002</v>
      </c>
      <c r="J94">
        <f>Calculs!J$3</f>
        <v>0.29399999999999998</v>
      </c>
      <c r="K94">
        <f>Calculs!K$3</f>
        <v>1147</v>
      </c>
      <c r="L94">
        <f>Calculs!L$3</f>
        <v>0.35199999999999998</v>
      </c>
    </row>
    <row r="95" spans="1:12" x14ac:dyDescent="0.2">
      <c r="A95" s="3"/>
      <c r="B95" s="3"/>
      <c r="G95" t="s">
        <v>26</v>
      </c>
      <c r="I95">
        <f>Calculs!I$4</f>
        <v>0.54800000000000004</v>
      </c>
      <c r="J95">
        <f>Calculs!J$4</f>
        <v>0.308</v>
      </c>
      <c r="K95">
        <f>Calculs!K$4</f>
        <v>1200</v>
      </c>
      <c r="L95">
        <f>Calculs!L$4</f>
        <v>0.36799999999999999</v>
      </c>
    </row>
    <row r="96" spans="1:12" x14ac:dyDescent="0.2">
      <c r="A96" s="3" t="s">
        <v>63</v>
      </c>
      <c r="B96" s="3"/>
      <c r="G96" t="s">
        <v>27</v>
      </c>
      <c r="I96">
        <f>Calculs!I$5</f>
        <v>0.57399999999999995</v>
      </c>
      <c r="J96">
        <f>Calculs!J$5</f>
        <v>0.32300000000000001</v>
      </c>
      <c r="K96">
        <f>Calculs!K$5</f>
        <v>1256</v>
      </c>
      <c r="L96">
        <f>Calculs!L$5</f>
        <v>0.38600000000000001</v>
      </c>
    </row>
    <row r="97" spans="1:12" x14ac:dyDescent="0.2">
      <c r="A97" s="3">
        <v>3</v>
      </c>
      <c r="B97" s="4" t="str">
        <f>IF(A94=0,"",IF(A93=A97,IF(A94&lt;=5000,A94*I93,IF(A94&gt;20000,A94*L93,((A94*J93)+K93))),""))</f>
        <v/>
      </c>
      <c r="D97" s="4" t="str">
        <f>IF(A94=0,"",IF(A93=A97,IF(A94&lt;=5000,I93&amp;" )",IF(A94&gt;20000,L93&amp;" )",J93&amp;" ) + "&amp;FIXED(K93,0))),""))</f>
        <v/>
      </c>
      <c r="E97" s="4"/>
      <c r="G97" t="s">
        <v>28</v>
      </c>
      <c r="I97">
        <f>Calculs!I$6</f>
        <v>0.60099999999999998</v>
      </c>
      <c r="J97">
        <f>Calculs!J$6</f>
        <v>0.34</v>
      </c>
      <c r="K97">
        <f>Calculs!K$6</f>
        <v>1301</v>
      </c>
      <c r="L97">
        <f>Calculs!L$6</f>
        <v>0.40500000000000003</v>
      </c>
    </row>
    <row r="98" spans="1:12" x14ac:dyDescent="0.2">
      <c r="A98" s="3">
        <v>4</v>
      </c>
      <c r="B98" s="4" t="str">
        <f>IF(A94=0,"",IF(A93=A98,IF(A94&lt;=5000,A94*I94,IF(A94&gt;20000,A94*L94,((A94*J94)+K94))),""))</f>
        <v/>
      </c>
      <c r="D98" s="4" t="str">
        <f>IF(A94=0,"",IF(A93=A98,IF(A94&lt;=5000,I94&amp;" )",IF(A94&gt;20000,L94&amp;" )",J94&amp;" ) + "&amp;FIXED(K94,0))),""))</f>
        <v/>
      </c>
      <c r="I98">
        <f>Calculs!I$7</f>
        <v>0</v>
      </c>
      <c r="J98">
        <f>Calculs!J$7</f>
        <v>0</v>
      </c>
      <c r="K98">
        <f>Calculs!K$7</f>
        <v>0</v>
      </c>
      <c r="L98">
        <f>Calculs!L$7</f>
        <v>0</v>
      </c>
    </row>
    <row r="99" spans="1:12" x14ac:dyDescent="0.2">
      <c r="A99" s="3">
        <v>5</v>
      </c>
      <c r="B99" s="4" t="str">
        <f>IF(A94=0,"",IF(A93=A99,IF(A94&lt;=5000,A94*I95,IF(A94&gt;20000,A94*L95,((A94*J95)+K95))),""))</f>
        <v/>
      </c>
      <c r="D99" s="4" t="str">
        <f>IF(A94=0,"",IF(A93=A99,IF(A94&lt;=5000,I95&amp;" )",IF(A94&gt;20000,L95&amp;" )",J95&amp;" ) + "&amp;FIXED(K95,0))),""))</f>
        <v/>
      </c>
      <c r="I99">
        <f>Calculs!I$8</f>
        <v>0</v>
      </c>
      <c r="J99">
        <f>Calculs!J$8</f>
        <v>0</v>
      </c>
      <c r="K99">
        <f>Calculs!K$8</f>
        <v>0</v>
      </c>
      <c r="L99">
        <f>Calculs!L$8</f>
        <v>0</v>
      </c>
    </row>
    <row r="100" spans="1:12" x14ac:dyDescent="0.2">
      <c r="A100" s="3">
        <v>6</v>
      </c>
      <c r="B100" s="4" t="str">
        <f>IF(A94=0,"",IF(A93=A100,IF(A94&lt;=5000,A94*I96,IF(A94&gt;20000,A94*L96,((A94*J96)+K96))),""))</f>
        <v/>
      </c>
      <c r="D100" s="4" t="str">
        <f>IF(A94=0,"",IF(A93=A100,IF(A94&lt;=5000,I96&amp;" )",IF(A94&gt;20000,L96&amp;" )",J96&amp;" ) + "&amp;FIXED(K96,0))),""))</f>
        <v/>
      </c>
      <c r="I100">
        <f>Calculs!I$9</f>
        <v>0</v>
      </c>
      <c r="J100">
        <f>Calculs!J$9</f>
        <v>0</v>
      </c>
      <c r="K100">
        <f>Calculs!K$9</f>
        <v>0</v>
      </c>
      <c r="L100">
        <f>Calculs!L$9</f>
        <v>0</v>
      </c>
    </row>
    <row r="101" spans="1:12" x14ac:dyDescent="0.2">
      <c r="A101" s="3">
        <v>7</v>
      </c>
      <c r="B101" s="4" t="str">
        <f>IF(A94=0,"",IF(A93=A101,IF(A94&lt;=5000,A94*I97,IF(A94&gt;20000,A94*L97,((A94*J97)+K97))),""))</f>
        <v/>
      </c>
      <c r="D101" s="4" t="str">
        <f>IF(A94=0,"",IF(A93=A101,IF(A94&lt;=5000,I97&amp;" )",IF(A94&gt;20000,L97&amp;" )",J97&amp;" ) + "&amp;FIXED(K97,0))),""))</f>
        <v/>
      </c>
      <c r="I101">
        <f>Calculs!I$10</f>
        <v>0</v>
      </c>
      <c r="J101">
        <f>Calculs!J$10</f>
        <v>0</v>
      </c>
      <c r="K101">
        <f>Calculs!K$10</f>
        <v>0</v>
      </c>
      <c r="L101">
        <f>Calculs!L$10</f>
        <v>0</v>
      </c>
    </row>
    <row r="102" spans="1:12" x14ac:dyDescent="0.2">
      <c r="A102" s="3"/>
      <c r="B102" s="4" t="str">
        <f>IF(A94=0,"",IF(A93=A102,IF(A94&lt;=5000,A94*I98,IF(A94&gt;20000,A94*L98,((A94*J98)+K98))),""))</f>
        <v/>
      </c>
      <c r="D102" s="4" t="str">
        <f>IF(A94=0,"",IF(A93=A102,IF(A94&lt;=5000,I98&amp;" )",IF(A94&gt;20000,L98&amp;" )",J98&amp;" ) + "&amp;FIXED(K98,0))),""))</f>
        <v/>
      </c>
      <c r="I102">
        <f>Calculs!I$11</f>
        <v>0</v>
      </c>
      <c r="J102">
        <f>Calculs!J$11</f>
        <v>0</v>
      </c>
      <c r="K102">
        <f>Calculs!K$11</f>
        <v>0</v>
      </c>
      <c r="L102">
        <f>Calculs!L$11</f>
        <v>0</v>
      </c>
    </row>
    <row r="103" spans="1:12" x14ac:dyDescent="0.2">
      <c r="A103" s="3"/>
      <c r="B103" s="4" t="str">
        <f>IF(A94=0,"",IF(A93=A103,IF(A94&lt;=5000,A94*I99,IF(A94&gt;20000,A94*L99,((A94*J99)+K99))),""))</f>
        <v/>
      </c>
      <c r="D103" s="4" t="str">
        <f>IF(A94=0,"",IF(A93=A103,IF(A94&lt;=5000,I99&amp;" )",IF(A94&gt;20000,L99&amp;" )",J99&amp;" ) + "&amp;FIXED(K99,0))),""))</f>
        <v/>
      </c>
      <c r="I103">
        <f>Calculs!I$12</f>
        <v>0</v>
      </c>
      <c r="J103">
        <f>Calculs!J$12</f>
        <v>0</v>
      </c>
      <c r="K103">
        <f>Calculs!K$12</f>
        <v>0</v>
      </c>
      <c r="L103">
        <f>Calculs!L$12</f>
        <v>0</v>
      </c>
    </row>
    <row r="104" spans="1:12" x14ac:dyDescent="0.2">
      <c r="A104" s="3"/>
      <c r="B104" s="4" t="str">
        <f>IF(A94=0,"",IF(A93=A104,IF(A94&lt;=5000,A94*I100,IF(A94&gt;20000,A94*L100,((A94*J100)+K100))),""))</f>
        <v/>
      </c>
      <c r="D104" s="4" t="str">
        <f>IF(A94=0,"",IF(A93=A104,IF(A94&lt;=5000,I100&amp;" )",IF(A94&gt;20000,L100&amp;" )",J100&amp;" ) + "&amp;FIXED(K100,0))),""))</f>
        <v/>
      </c>
    </row>
    <row r="105" spans="1:12" x14ac:dyDescent="0.2">
      <c r="A105" s="3"/>
      <c r="B105" s="4" t="str">
        <f>IF(A94=0,"",IF(A93=A105,IF(A94&lt;=5000,A94*I101,IF(A94&gt;20000,A94*L101,((A94*J101)+K101))),""))</f>
        <v/>
      </c>
      <c r="D105" s="4" t="str">
        <f>IF(A94=0,"",IF(A93=A105,IF(A94&lt;=5000,I101&amp;" )",IF(A94&gt;20000,L101&amp;" )",J101&amp;" ) + "&amp;FIXED(K101,0))),""))</f>
        <v/>
      </c>
    </row>
    <row r="106" spans="1:12" x14ac:dyDescent="0.2">
      <c r="A106" s="3"/>
      <c r="B106" s="4" t="str">
        <f>IF(A94=0,"",IF(A93=A106,IF(A94&lt;=5000,A94*I102,IF(A94&gt;20000,A94*L102,((A94*J102)+K102))),""))</f>
        <v/>
      </c>
      <c r="D106" s="4" t="str">
        <f>IF(A94=0,"",IF(A93=A106,IF(A94&lt;=5000,I102&amp;" )",IF(A94&gt;20000,L102&amp;" )",J102&amp;" ) + "&amp;FIXED(K102,0))),""))</f>
        <v/>
      </c>
    </row>
    <row r="107" spans="1:12" x14ac:dyDescent="0.2">
      <c r="A107" s="3"/>
      <c r="B107" s="4" t="str">
        <f>IF(A94=0,"",IF(A93=A107,IF(A94&lt;=5000,A94*I103,IF(A94&gt;20000,A94*L103,((A94*J103)+K103))),""))</f>
        <v/>
      </c>
      <c r="D107" s="4" t="str">
        <f>IF(A94=0,"",IF(A93=A107,IF(A94&lt;=5000,I103&amp;" )",IF(A94&gt;20000,L103&amp;" )",J103&amp;" ) + "&amp;FIXED(K103,0))),""))</f>
        <v/>
      </c>
    </row>
    <row r="108" spans="1:12" x14ac:dyDescent="0.2">
      <c r="A108" s="3"/>
      <c r="B108" s="4">
        <f>ROUND(SUM(B97:B107),0)</f>
        <v>0</v>
      </c>
      <c r="D108" s="2" t="str">
        <f>D97 &amp; D98 &amp; D99 &amp; D100 &amp; D101 &amp; D102 &amp; D103 &amp; D104 &amp; D105 &amp; D106 &amp; D107</f>
        <v/>
      </c>
    </row>
    <row r="109" spans="1:12" x14ac:dyDescent="0.2">
      <c r="A109" s="3"/>
      <c r="B109" s="3"/>
    </row>
    <row r="110" spans="1:12" x14ac:dyDescent="0.2">
      <c r="A110" s="3" t="s">
        <v>78</v>
      </c>
      <c r="B110" s="3"/>
    </row>
    <row r="111" spans="1:12" x14ac:dyDescent="0.2">
      <c r="A111" s="4">
        <f>A94</f>
        <v>0</v>
      </c>
      <c r="B111" s="3" t="s">
        <v>17</v>
      </c>
    </row>
    <row r="112" spans="1:12" x14ac:dyDescent="0.2">
      <c r="A112" s="3" t="s">
        <v>63</v>
      </c>
      <c r="D112" s="2"/>
      <c r="G112" s="7" t="s">
        <v>63</v>
      </c>
      <c r="H112">
        <v>1</v>
      </c>
    </row>
    <row r="113" spans="1:12" ht="14.25" x14ac:dyDescent="0.2">
      <c r="A113" s="5" t="s">
        <v>18</v>
      </c>
      <c r="B113" s="3" t="str">
        <f>IF(H112=2,IF($A111&lt;=2000,A111*I113,IF($A111&gt;5000,A111*L113,(A111*J113)+K113)),"")</f>
        <v/>
      </c>
      <c r="D113" s="3" t="str">
        <f>IF(H112=2,IF($A111&lt;=2000,I113&amp;" )",IF($A111&gt;5000,L113&amp;" )",J113&amp;" ) + "&amp;K113)),"")</f>
        <v/>
      </c>
      <c r="G113" s="5" t="s">
        <v>39</v>
      </c>
      <c r="I113">
        <f>Calculs!I$33</f>
        <v>0.27200000000000002</v>
      </c>
      <c r="J113">
        <f>Calculs!J$33</f>
        <v>6.4000000000000001E-2</v>
      </c>
      <c r="K113">
        <f>Calculs!K$33</f>
        <v>416</v>
      </c>
      <c r="L113">
        <f>Calculs!L$33</f>
        <v>0.14699999999999999</v>
      </c>
    </row>
    <row r="114" spans="1:12" x14ac:dyDescent="0.2">
      <c r="A114" s="3" t="s">
        <v>59</v>
      </c>
      <c r="B114" s="3" t="str">
        <f>IF(H112=3,IF($A111&lt;=3000,A111*I114,IF($A111&gt;6000,A111*L114,(A111*J114)+K114)),"")</f>
        <v/>
      </c>
      <c r="D114" s="3" t="str">
        <f>IF(H112=3,IF($A111&lt;=3000,I114&amp;" )",IF($A111&gt;6000,L114&amp;" )",J114&amp;" ) + "&amp;K114)),"")</f>
        <v/>
      </c>
      <c r="G114" s="3" t="s">
        <v>59</v>
      </c>
      <c r="I114">
        <f>Calculs!I$34</f>
        <v>0.34100000000000003</v>
      </c>
      <c r="J114">
        <f>Calculs!J$34</f>
        <v>8.5000000000000006E-2</v>
      </c>
      <c r="K114">
        <f>Calculs!K$34</f>
        <v>768</v>
      </c>
      <c r="L114">
        <f>Calculs!L$34</f>
        <v>0.21299999999999999</v>
      </c>
    </row>
    <row r="115" spans="1:12" x14ac:dyDescent="0.2">
      <c r="A115" s="3" t="s">
        <v>20</v>
      </c>
      <c r="B115" s="3" t="str">
        <f>IF(H112=4,IF($A111&lt;=3000,A111*I115,IF($A111&gt;6000,A111*L115,(A111*J115)+K115)),"")</f>
        <v/>
      </c>
      <c r="D115" s="3" t="str">
        <f>IF(H112=4,IF($A111&lt;=3000,I115&amp;" )",IF($A111&gt;6000,L115&amp;" )",J115&amp;" ) + "&amp;FIXED(K115,0))),"")</f>
        <v/>
      </c>
      <c r="G115" s="3" t="s">
        <v>20</v>
      </c>
      <c r="I115">
        <f>Calculs!I$35</f>
        <v>0.40400000000000003</v>
      </c>
      <c r="J115">
        <f>Calculs!J$35</f>
        <v>7.0999999999999994E-2</v>
      </c>
      <c r="K115">
        <f>Calculs!K$35</f>
        <v>999</v>
      </c>
      <c r="L115">
        <f>Calculs!L$35</f>
        <v>0.23699999999999999</v>
      </c>
    </row>
    <row r="116" spans="1:12" x14ac:dyDescent="0.2">
      <c r="A116" s="3" t="s">
        <v>21</v>
      </c>
      <c r="B116" s="3" t="str">
        <f>IF(H112=5,IF($A111&lt;=3000,A111*I116,IF($A111&gt;6000,A111*L116,(A111*J116)+K116)),"")</f>
        <v/>
      </c>
      <c r="D116" s="3" t="str">
        <f>IF(H112=5,IF($A111&lt;=3000,I116&amp;" )",IF($A111&gt;6000,L116&amp;" )",J116&amp;" ) + "&amp;FIXED(K116,0))),"")</f>
        <v/>
      </c>
      <c r="G116" s="3" t="s">
        <v>21</v>
      </c>
      <c r="I116">
        <f>Calculs!I$36</f>
        <v>0.52300000000000002</v>
      </c>
      <c r="J116">
        <f>Calculs!J$36</f>
        <v>6.8000000000000005E-2</v>
      </c>
      <c r="K116">
        <f>Calculs!K$36</f>
        <v>1365</v>
      </c>
      <c r="L116">
        <f>Calculs!L$36</f>
        <v>0.29499999999999998</v>
      </c>
    </row>
    <row r="117" spans="1:12" x14ac:dyDescent="0.2">
      <c r="A117" s="3"/>
      <c r="B117" s="3">
        <f>ROUND(SUM(B113:B116),0)</f>
        <v>0</v>
      </c>
      <c r="D117" t="str">
        <f>D113 &amp; D114 &amp; D115 &amp; D116</f>
        <v/>
      </c>
    </row>
    <row r="118" spans="1:12" x14ac:dyDescent="0.2">
      <c r="A118" s="3"/>
      <c r="B118" s="6"/>
      <c r="C118" s="1"/>
      <c r="D118" s="1"/>
    </row>
    <row r="119" spans="1:12" x14ac:dyDescent="0.2">
      <c r="B119">
        <f>IF(AND(B108&lt;&gt;0,B117&lt;&gt;0),"N/C",B108+B117)</f>
        <v>0</v>
      </c>
      <c r="D119" t="str">
        <f>IF(AND(D108&lt;&gt;"",D117&lt;&gt;""),"N/C",IF(D108&lt;&gt;"",D108,D117))</f>
        <v/>
      </c>
      <c r="G119" t="str">
        <f>IF(AND(B108&lt;&gt;0,B117&lt;&gt;0),"Ne compléter que la puissance de la Voiture OU de la Moto","")</f>
        <v/>
      </c>
    </row>
    <row r="122" spans="1:12" x14ac:dyDescent="0.2">
      <c r="A122" s="3" t="s">
        <v>79</v>
      </c>
      <c r="B122" s="3"/>
      <c r="G122" s="7" t="s">
        <v>63</v>
      </c>
      <c r="H122">
        <v>1</v>
      </c>
      <c r="I122">
        <v>-5000</v>
      </c>
      <c r="J122" s="114" t="s">
        <v>29</v>
      </c>
      <c r="K122" s="114"/>
      <c r="L122">
        <v>20000</v>
      </c>
    </row>
    <row r="123" spans="1:12" x14ac:dyDescent="0.2">
      <c r="A123" s="3">
        <f>1+H122</f>
        <v>2</v>
      </c>
      <c r="B123" s="3" t="s">
        <v>9</v>
      </c>
      <c r="G123" t="s">
        <v>24</v>
      </c>
      <c r="I123">
        <f>Calculs!I$2</f>
        <v>0.45600000000000002</v>
      </c>
      <c r="J123">
        <f>Calculs!J$2</f>
        <v>0.27300000000000002</v>
      </c>
      <c r="K123">
        <f>Calculs!K$2</f>
        <v>915</v>
      </c>
      <c r="L123">
        <f>Calculs!L$2</f>
        <v>0.318</v>
      </c>
    </row>
    <row r="124" spans="1:12" x14ac:dyDescent="0.2">
      <c r="A124" s="4">
        <f>SOCIETES!G92</f>
        <v>0</v>
      </c>
      <c r="B124" s="3" t="s">
        <v>10</v>
      </c>
      <c r="G124" t="s">
        <v>25</v>
      </c>
      <c r="I124">
        <f>Calculs!I$3</f>
        <v>0.52300000000000002</v>
      </c>
      <c r="J124">
        <f>Calculs!J$3</f>
        <v>0.29399999999999998</v>
      </c>
      <c r="K124">
        <f>Calculs!K$3</f>
        <v>1147</v>
      </c>
      <c r="L124">
        <f>Calculs!L$3</f>
        <v>0.35199999999999998</v>
      </c>
    </row>
    <row r="125" spans="1:12" x14ac:dyDescent="0.2">
      <c r="A125" s="3"/>
      <c r="B125" s="3"/>
      <c r="G125" t="s">
        <v>26</v>
      </c>
      <c r="I125">
        <f>Calculs!I$4</f>
        <v>0.54800000000000004</v>
      </c>
      <c r="J125">
        <f>Calculs!J$4</f>
        <v>0.308</v>
      </c>
      <c r="K125">
        <f>Calculs!K$4</f>
        <v>1200</v>
      </c>
      <c r="L125">
        <f>Calculs!L$4</f>
        <v>0.36799999999999999</v>
      </c>
    </row>
    <row r="126" spans="1:12" x14ac:dyDescent="0.2">
      <c r="A126" s="3" t="s">
        <v>63</v>
      </c>
      <c r="B126" s="3"/>
      <c r="G126" t="s">
        <v>27</v>
      </c>
      <c r="I126">
        <f>Calculs!I$5</f>
        <v>0.57399999999999995</v>
      </c>
      <c r="J126">
        <f>Calculs!J$5</f>
        <v>0.32300000000000001</v>
      </c>
      <c r="K126">
        <f>Calculs!K$5</f>
        <v>1256</v>
      </c>
      <c r="L126">
        <f>Calculs!L$5</f>
        <v>0.38600000000000001</v>
      </c>
    </row>
    <row r="127" spans="1:12" x14ac:dyDescent="0.2">
      <c r="A127" s="3">
        <v>3</v>
      </c>
      <c r="B127" s="4" t="str">
        <f>IF(A124=0,"",IF(A123=A127,IF(A124&lt;=5000,A124*I123,IF(A124&gt;20000,A124*L123,((A124*J123)+K123))),""))</f>
        <v/>
      </c>
      <c r="D127" s="4" t="str">
        <f>IF(A124=0,"",IF(A123=A127,IF(A124&lt;=5000,I123&amp;" )",IF(A124&gt;20000,L123&amp;" )",J123&amp;" ) + "&amp;FIXED(K123,0))),""))</f>
        <v/>
      </c>
      <c r="E127" s="4"/>
      <c r="G127" t="s">
        <v>28</v>
      </c>
      <c r="I127">
        <f>Calculs!I$6</f>
        <v>0.60099999999999998</v>
      </c>
      <c r="J127">
        <f>Calculs!J$6</f>
        <v>0.34</v>
      </c>
      <c r="K127">
        <f>Calculs!K$6</f>
        <v>1301</v>
      </c>
      <c r="L127">
        <f>Calculs!L$6</f>
        <v>0.40500000000000003</v>
      </c>
    </row>
    <row r="128" spans="1:12" x14ac:dyDescent="0.2">
      <c r="A128" s="3">
        <v>4</v>
      </c>
      <c r="B128" s="4" t="str">
        <f>IF(A124=0,"",IF(A123=A128,IF(A124&lt;=5000,A124*I124,IF(A124&gt;20000,A124*L124,((A124*J124)+K124))),""))</f>
        <v/>
      </c>
      <c r="D128" s="4" t="str">
        <f>IF(A124=0,"",IF(A123=A128,IF(A124&lt;=5000,I124&amp;" )",IF(A124&gt;20000,L124&amp;" )",J124&amp;" ) + "&amp;FIXED(K124,0))),""))</f>
        <v/>
      </c>
      <c r="I128">
        <f>Calculs!I$7</f>
        <v>0</v>
      </c>
      <c r="J128">
        <f>Calculs!J$7</f>
        <v>0</v>
      </c>
      <c r="K128">
        <f>Calculs!K$7</f>
        <v>0</v>
      </c>
      <c r="L128">
        <f>Calculs!L$7</f>
        <v>0</v>
      </c>
    </row>
    <row r="129" spans="1:12" x14ac:dyDescent="0.2">
      <c r="A129" s="3">
        <v>5</v>
      </c>
      <c r="B129" s="4" t="str">
        <f>IF(A124=0,"",IF(A123=A129,IF(A124&lt;=5000,A124*I125,IF(A124&gt;20000,A124*L125,((A124*J125)+K125))),""))</f>
        <v/>
      </c>
      <c r="D129" s="4" t="str">
        <f>IF(A124=0,"",IF(A123=A129,IF(A124&lt;=5000,I125&amp;" )",IF(A124&gt;20000,L125&amp;" )",J125&amp;" ) + "&amp;FIXED(K125,0))),""))</f>
        <v/>
      </c>
      <c r="I129">
        <f>Calculs!I$8</f>
        <v>0</v>
      </c>
      <c r="J129">
        <f>Calculs!J$8</f>
        <v>0</v>
      </c>
      <c r="K129">
        <f>Calculs!K$8</f>
        <v>0</v>
      </c>
      <c r="L129">
        <f>Calculs!L$8</f>
        <v>0</v>
      </c>
    </row>
    <row r="130" spans="1:12" x14ac:dyDescent="0.2">
      <c r="A130" s="3">
        <v>6</v>
      </c>
      <c r="B130" s="4" t="str">
        <f>IF(A124=0,"",IF(A123=A130,IF(A124&lt;=5000,A124*I126,IF(A124&gt;20000,A124*L126,((A124*J126)+K126))),""))</f>
        <v/>
      </c>
      <c r="D130" s="4" t="str">
        <f>IF(A124=0,"",IF(A123=A130,IF(A124&lt;=5000,I126&amp;" )",IF(A124&gt;20000,L126&amp;" )",J126&amp;" ) + "&amp;FIXED(K126,0))),""))</f>
        <v/>
      </c>
      <c r="I130">
        <f>Calculs!I$9</f>
        <v>0</v>
      </c>
      <c r="J130">
        <f>Calculs!J$9</f>
        <v>0</v>
      </c>
      <c r="K130">
        <f>Calculs!K$9</f>
        <v>0</v>
      </c>
      <c r="L130">
        <f>Calculs!L$9</f>
        <v>0</v>
      </c>
    </row>
    <row r="131" spans="1:12" x14ac:dyDescent="0.2">
      <c r="A131" s="3">
        <v>7</v>
      </c>
      <c r="B131" s="4" t="str">
        <f>IF(A124=0,"",IF(A123=A131,IF(A124&lt;=5000,A124*I127,IF(A124&gt;20000,A124*L127,((A124*J127)+K127))),""))</f>
        <v/>
      </c>
      <c r="D131" s="4" t="str">
        <f>IF(A124=0,"",IF(A123=A131,IF(A124&lt;=5000,I127&amp;" )",IF(A124&gt;20000,L127&amp;" )",J127&amp;" ) + "&amp;FIXED(K127,0))),""))</f>
        <v/>
      </c>
      <c r="I131">
        <f>Calculs!I$10</f>
        <v>0</v>
      </c>
      <c r="J131">
        <f>Calculs!J$10</f>
        <v>0</v>
      </c>
      <c r="K131">
        <f>Calculs!K$10</f>
        <v>0</v>
      </c>
      <c r="L131">
        <f>Calculs!L$10</f>
        <v>0</v>
      </c>
    </row>
    <row r="132" spans="1:12" x14ac:dyDescent="0.2">
      <c r="A132" s="3"/>
      <c r="B132" s="4" t="str">
        <f>IF(A124=0,"",IF(A123=A132,IF(A124&lt;=5000,A124*I128,IF(A124&gt;20000,A124*L128,((A124*J128)+K128))),""))</f>
        <v/>
      </c>
      <c r="D132" s="4" t="str">
        <f>IF(A124=0,"",IF(A123=A132,IF(A124&lt;=5000,I128&amp;" )",IF(A124&gt;20000,L128&amp;" )",J128&amp;" ) + "&amp;FIXED(K128,0))),""))</f>
        <v/>
      </c>
      <c r="I132">
        <f>Calculs!I$11</f>
        <v>0</v>
      </c>
      <c r="J132">
        <f>Calculs!J$11</f>
        <v>0</v>
      </c>
      <c r="K132">
        <f>Calculs!K$11</f>
        <v>0</v>
      </c>
      <c r="L132">
        <f>Calculs!L$11</f>
        <v>0</v>
      </c>
    </row>
    <row r="133" spans="1:12" x14ac:dyDescent="0.2">
      <c r="A133" s="3"/>
      <c r="B133" s="4" t="str">
        <f>IF(A124=0,"",IF(A123=A133,IF(A124&lt;=5000,A124*I129,IF(A124&gt;20000,A124*L129,((A124*J129)+K129))),""))</f>
        <v/>
      </c>
      <c r="D133" s="4" t="str">
        <f>IF(A124=0,"",IF(A123=A133,IF(A124&lt;=5000,I129&amp;" )",IF(A124&gt;20000,L129&amp;" )",J129&amp;" ) + "&amp;FIXED(K129,0))),""))</f>
        <v/>
      </c>
      <c r="I133">
        <f>Calculs!I$12</f>
        <v>0</v>
      </c>
      <c r="J133">
        <f>Calculs!J$12</f>
        <v>0</v>
      </c>
      <c r="K133">
        <f>Calculs!K$12</f>
        <v>0</v>
      </c>
      <c r="L133">
        <f>Calculs!L$12</f>
        <v>0</v>
      </c>
    </row>
    <row r="134" spans="1:12" x14ac:dyDescent="0.2">
      <c r="A134" s="3"/>
      <c r="B134" s="4" t="str">
        <f>IF(A124=0,"",IF(A123=A134,IF(A124&lt;=5000,A124*I130,IF(A124&gt;20000,A124*L130,((A124*J130)+K130))),""))</f>
        <v/>
      </c>
      <c r="D134" s="4" t="str">
        <f>IF(A124=0,"",IF(A123=A134,IF(A124&lt;=5000,I130&amp;" )",IF(A124&gt;20000,L130&amp;" )",J130&amp;" ) + "&amp;FIXED(K130,0))),""))</f>
        <v/>
      </c>
    </row>
    <row r="135" spans="1:12" x14ac:dyDescent="0.2">
      <c r="A135" s="3"/>
      <c r="B135" s="4" t="str">
        <f>IF(A124=0,"",IF(A123=A135,IF(A124&lt;=5000,A124*I131,IF(A124&gt;20000,A124*L131,((A124*J131)+K131))),""))</f>
        <v/>
      </c>
      <c r="D135" s="4" t="str">
        <f>IF(A124=0,"",IF(A123=A135,IF(A124&lt;=5000,I131&amp;" )",IF(A124&gt;20000,L131&amp;" )",J131&amp;" ) + "&amp;FIXED(K131,0))),""))</f>
        <v/>
      </c>
    </row>
    <row r="136" spans="1:12" x14ac:dyDescent="0.2">
      <c r="A136" s="3"/>
      <c r="B136" s="4" t="str">
        <f>IF(A124=0,"",IF(A123=A136,IF(A124&lt;=5000,A124*I132,IF(A124&gt;20000,A124*L132,((A124*J132)+K132))),""))</f>
        <v/>
      </c>
      <c r="D136" s="4" t="str">
        <f>IF(A124=0,"",IF(A123=A136,IF(A124&lt;=5000,I132&amp;" )",IF(A124&gt;20000,L132&amp;" )",J132&amp;" ) + "&amp;FIXED(K132,0))),""))</f>
        <v/>
      </c>
    </row>
    <row r="137" spans="1:12" x14ac:dyDescent="0.2">
      <c r="A137" s="3"/>
      <c r="B137" s="4" t="str">
        <f>IF(A124=0,"",IF(A123=A137,IF(A124&lt;=5000,A124*I133,IF(A124&gt;20000,A124*L133,((A124*J133)+K133))),""))</f>
        <v/>
      </c>
      <c r="D137" s="4" t="str">
        <f>IF(A124=0,"",IF(A123=A137,IF(A124&lt;=5000,I133&amp;" )",IF(A124&gt;20000,L133&amp;" )",J133&amp;" ) + "&amp;FIXED(K133,0))),""))</f>
        <v/>
      </c>
    </row>
    <row r="138" spans="1:12" x14ac:dyDescent="0.2">
      <c r="A138" s="3"/>
      <c r="B138" s="4">
        <f>ROUND(SUM(B127:B137),0)</f>
        <v>0</v>
      </c>
      <c r="D138" s="2" t="str">
        <f>D127 &amp; D128 &amp; D129 &amp; D130 &amp; D131 &amp; D132 &amp; D133 &amp; D134 &amp; D135 &amp; D136 &amp; D137</f>
        <v/>
      </c>
    </row>
    <row r="139" spans="1:12" x14ac:dyDescent="0.2">
      <c r="A139" s="3"/>
      <c r="B139" s="3"/>
    </row>
    <row r="140" spans="1:12" x14ac:dyDescent="0.2">
      <c r="A140" s="3" t="s">
        <v>80</v>
      </c>
      <c r="B140" s="3"/>
    </row>
    <row r="141" spans="1:12" x14ac:dyDescent="0.2">
      <c r="A141" s="4">
        <f>A124</f>
        <v>0</v>
      </c>
      <c r="B141" s="3" t="s">
        <v>17</v>
      </c>
    </row>
    <row r="142" spans="1:12" x14ac:dyDescent="0.2">
      <c r="A142" s="3" t="s">
        <v>63</v>
      </c>
      <c r="D142" s="2"/>
      <c r="G142" s="7" t="s">
        <v>63</v>
      </c>
      <c r="H142">
        <v>1</v>
      </c>
    </row>
    <row r="143" spans="1:12" ht="14.25" x14ac:dyDescent="0.2">
      <c r="A143" s="5" t="s">
        <v>18</v>
      </c>
      <c r="B143" s="3" t="str">
        <f>IF(H142=2,IF($A141&lt;=2000,A141*I143,IF($A141&gt;5000,A141*L143,(A141*J143)+K143)),"")</f>
        <v/>
      </c>
      <c r="D143" s="3" t="str">
        <f>IF(H142=2,IF($A141&lt;=2000,I143&amp;" )",IF($A141&gt;5000,L143&amp;" )",J143&amp;" ) + "&amp;K143)),"")</f>
        <v/>
      </c>
      <c r="G143" s="5" t="s">
        <v>39</v>
      </c>
      <c r="I143">
        <f>Calculs!I$33</f>
        <v>0.27200000000000002</v>
      </c>
      <c r="J143">
        <f>Calculs!J$33</f>
        <v>6.4000000000000001E-2</v>
      </c>
      <c r="K143">
        <f>Calculs!K$33</f>
        <v>416</v>
      </c>
      <c r="L143">
        <f>Calculs!L$33</f>
        <v>0.14699999999999999</v>
      </c>
    </row>
    <row r="144" spans="1:12" x14ac:dyDescent="0.2">
      <c r="A144" s="3" t="s">
        <v>59</v>
      </c>
      <c r="B144" s="3" t="str">
        <f>IF(H142=3,IF($A141&lt;=3000,A141*I144,IF($A141&gt;6000,A141*L144,(A141*J144)+K144)),"")</f>
        <v/>
      </c>
      <c r="D144" s="3" t="str">
        <f>IF(H142=3,IF($A141&lt;=3000,I144&amp;" )",IF($A141&gt;6000,L144&amp;" )",J144&amp;" ) + "&amp;K144)),"")</f>
        <v/>
      </c>
      <c r="G144" s="3" t="s">
        <v>59</v>
      </c>
      <c r="I144">
        <f>Calculs!I$34</f>
        <v>0.34100000000000003</v>
      </c>
      <c r="J144">
        <f>Calculs!J$34</f>
        <v>8.5000000000000006E-2</v>
      </c>
      <c r="K144">
        <f>Calculs!K$34</f>
        <v>768</v>
      </c>
      <c r="L144">
        <f>Calculs!L$34</f>
        <v>0.21299999999999999</v>
      </c>
    </row>
    <row r="145" spans="1:12" x14ac:dyDescent="0.2">
      <c r="A145" s="3" t="s">
        <v>20</v>
      </c>
      <c r="B145" s="3" t="str">
        <f>IF(H142=4,IF($A141&lt;=3000,A141*I145,IF($A141&gt;6000,A141*L145,(A141*J145)+K145)),"")</f>
        <v/>
      </c>
      <c r="D145" s="3" t="str">
        <f>IF(H142=4,IF($A141&lt;=3000,I145&amp;" )",IF($A141&gt;6000,L145&amp;" )",J145&amp;" ) + "&amp;FIXED(K145,0))),"")</f>
        <v/>
      </c>
      <c r="G145" s="3" t="s">
        <v>20</v>
      </c>
      <c r="I145">
        <f>Calculs!I$35</f>
        <v>0.40400000000000003</v>
      </c>
      <c r="J145">
        <f>Calculs!J$35</f>
        <v>7.0999999999999994E-2</v>
      </c>
      <c r="K145">
        <f>Calculs!K$35</f>
        <v>999</v>
      </c>
      <c r="L145">
        <f>Calculs!L$35</f>
        <v>0.23699999999999999</v>
      </c>
    </row>
    <row r="146" spans="1:12" x14ac:dyDescent="0.2">
      <c r="A146" s="3" t="s">
        <v>21</v>
      </c>
      <c r="B146" s="3" t="str">
        <f>IF(H142=5,IF($A141&lt;=3000,A141*I146,IF($A141&gt;6000,A141*L146,(A141*J146)+K146)),"")</f>
        <v/>
      </c>
      <c r="D146" s="3" t="str">
        <f>IF(H142=5,IF($A141&lt;=3000,I146&amp;" )",IF($A141&gt;6000,L146&amp;" )",J146&amp;" ) + "&amp;FIXED(K146,0))),"")</f>
        <v/>
      </c>
      <c r="G146" s="3" t="s">
        <v>21</v>
      </c>
      <c r="I146">
        <f>Calculs!I$36</f>
        <v>0.52300000000000002</v>
      </c>
      <c r="J146">
        <f>Calculs!J$36</f>
        <v>6.8000000000000005E-2</v>
      </c>
      <c r="K146">
        <f>Calculs!K$36</f>
        <v>1365</v>
      </c>
      <c r="L146">
        <f>Calculs!L$36</f>
        <v>0.29499999999999998</v>
      </c>
    </row>
    <row r="147" spans="1:12" x14ac:dyDescent="0.2">
      <c r="A147" s="3"/>
      <c r="B147" s="3">
        <f>ROUND(SUM(B143:B146),0)</f>
        <v>0</v>
      </c>
      <c r="D147" t="str">
        <f>D143 &amp; D144 &amp; D145 &amp; D146</f>
        <v/>
      </c>
    </row>
    <row r="148" spans="1:12" x14ac:dyDescent="0.2">
      <c r="A148" s="3"/>
      <c r="B148" s="6"/>
      <c r="C148" s="1"/>
      <c r="D148" s="1"/>
    </row>
    <row r="149" spans="1:12" x14ac:dyDescent="0.2">
      <c r="B149">
        <f>IF(AND(B138&lt;&gt;0,B147&lt;&gt;0),"N/C",B138+B147)</f>
        <v>0</v>
      </c>
      <c r="D149" t="str">
        <f>IF(AND(D138&lt;&gt;"",D147&lt;&gt;""),"N/C",IF(D138&lt;&gt;"",D138,D147))</f>
        <v/>
      </c>
      <c r="G149" t="str">
        <f>IF(AND(B138&lt;&gt;0,B147&lt;&gt;0),"Ne compléter que la puissance de la Voiture OU de la Moto","")</f>
        <v/>
      </c>
    </row>
  </sheetData>
  <mergeCells count="6">
    <mergeCell ref="J92:K92"/>
    <mergeCell ref="J122:K122"/>
    <mergeCell ref="J2:K2"/>
    <mergeCell ref="A1:L1"/>
    <mergeCell ref="J32:K32"/>
    <mergeCell ref="J62:K62"/>
  </mergeCells>
  <phoneticPr fontId="1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Frais AUTO</vt:lpstr>
      <vt:lpstr>Frais MOTO</vt:lpstr>
      <vt:lpstr>SOCIETES</vt:lpstr>
      <vt:lpstr>Annexe BIC</vt:lpstr>
      <vt:lpstr>Calculs</vt:lpstr>
      <vt:lpstr>Calculs 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AGPLA</dc:creator>
  <cp:lastModifiedBy>Cédric LORMEL</cp:lastModifiedBy>
  <cp:lastPrinted>2011-03-15T14:54:41Z</cp:lastPrinted>
  <dcterms:created xsi:type="dcterms:W3CDTF">2002-10-16T12:39:44Z</dcterms:created>
  <dcterms:modified xsi:type="dcterms:W3CDTF">2020-03-02T07:34:05Z</dcterms:modified>
</cp:coreProperties>
</file>